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32760" yWindow="32760" windowWidth="19440" windowHeight="7755" tabRatio="841" activeTab="3"/>
  </bookViews>
  <sheets>
    <sheet name="SOFP" sheetId="66" r:id="rId1"/>
    <sheet name="SOPL" sheetId="2" r:id="rId2"/>
    <sheet name="SCE" sheetId="71" r:id="rId3"/>
    <sheet name="CF" sheetId="72" r:id="rId4"/>
    <sheet name="P-N.(corrected)" sheetId="60" state="hidden" r:id="rId5"/>
    <sheet name="N-4-24-007" sheetId="37" state="hidden" r:id="rId6"/>
    <sheet name="Dif-Stgt and Reduce" sheetId="180" state="hidden" r:id="rId7"/>
    <sheet name="Acc dep" sheetId="178" state="hidden" r:id="rId8"/>
    <sheet name="Schedule-A(July-June-19)-Tax" sheetId="128" state="hidden" r:id="rId9"/>
    <sheet name="Tax-Res-(2018-2019)" sheetId="129" state="hidden" r:id="rId10"/>
    <sheet name="FA-2018-2019-PeriodicDHK" sheetId="148" state="hidden" r:id="rId11"/>
    <sheet name="Loan Int Provision" sheetId="159" state="hidden" r:id="rId12"/>
    <sheet name="N-26-47 (2)-Tax" sheetId="143" state="hidden" r:id="rId13"/>
    <sheet name="Bad debt Prov cal 30.06.19 " sheetId="158" state="hidden" r:id="rId14"/>
    <sheet name="inv in share" sheetId="114" state="hidden" r:id="rId15"/>
    <sheet name="N-20-30" sheetId="41" state="hidden" r:id="rId16"/>
    <sheet name="N-4 (2)" sheetId="43" state="hidden" r:id="rId17"/>
    <sheet name="Sheet1" sheetId="44" state="hidden" r:id="rId18"/>
    <sheet name="N-not valid" sheetId="34" state="hidden" r:id="rId19"/>
    <sheet name="N-14-19" sheetId="38" state="hidden" r:id="rId20"/>
    <sheet name="Sheet3" sheetId="46" state="hidden" r:id="rId21"/>
    <sheet name="Tax Cal-march-13" sheetId="36" state="hidden" r:id="rId22"/>
    <sheet name="N3-9" sheetId="33" state="hidden" r:id="rId23"/>
  </sheets>
  <definedNames>
    <definedName name="_xlnm.Print_Area" localSheetId="13">'Bad debt Prov cal 30.06.19 '!$A$1:$N$28</definedName>
    <definedName name="_xlnm.Print_Area" localSheetId="3">CF!$A$1:$K$44</definedName>
    <definedName name="_xlnm.Print_Area" localSheetId="5">'N-4-24-007'!$A$1:$I$519</definedName>
    <definedName name="_xlnm.Print_Area" localSheetId="4">'P-N.(corrected)'!$A$1:$J$260</definedName>
    <definedName name="_xlnm.Print_Area" localSheetId="8">'Schedule-A(July-June-19)-Tax'!$A$1:$K$54</definedName>
    <definedName name="_xlnm.Print_Area" localSheetId="9">'Tax-Res-(2018-2019)'!$A$1:$I$30</definedName>
    <definedName name="_xlnm.Print_Titles" localSheetId="12">'N-26-47 (2)-Tax'!$1:$3</definedName>
    <definedName name="_xlnm.Print_Titles" localSheetId="5">'N-4-24-007'!$1:$2</definedName>
    <definedName name="_xlnm.Print_Titles" localSheetId="2">SCE!$7:$7</definedName>
  </definedNames>
  <calcPr calcId="124519"/>
  <fileRecoveryPr autoRecover="0"/>
</workbook>
</file>

<file path=xl/calcChain.xml><?xml version="1.0" encoding="utf-8"?>
<calcChain xmlns="http://schemas.openxmlformats.org/spreadsheetml/2006/main">
  <c r="G479" i="37"/>
  <c r="G468"/>
  <c r="G504"/>
  <c r="G506" s="1"/>
  <c r="E42" i="178"/>
  <c r="F42"/>
  <c r="E31"/>
  <c r="F31" s="1"/>
  <c r="G31" s="1"/>
  <c r="G488" i="37"/>
  <c r="I489"/>
  <c r="I491" s="1"/>
  <c r="G51"/>
  <c r="G55" s="1"/>
  <c r="G54"/>
  <c r="G34"/>
  <c r="G426"/>
  <c r="G410"/>
  <c r="G400"/>
  <c r="E17" i="128"/>
  <c r="B15"/>
  <c r="E15" i="178"/>
  <c r="E4"/>
  <c r="F4"/>
  <c r="G4"/>
  <c r="C5" s="1"/>
  <c r="E5" s="1"/>
  <c r="F5" s="1"/>
  <c r="E10"/>
  <c r="N425" i="37"/>
  <c r="P418"/>
  <c r="I36"/>
  <c r="I39"/>
  <c r="I40"/>
  <c r="I41" s="1"/>
  <c r="G68"/>
  <c r="G173"/>
  <c r="P173"/>
  <c r="G166"/>
  <c r="G505"/>
  <c r="G482"/>
  <c r="G481"/>
  <c r="G483" s="1"/>
  <c r="G113"/>
  <c r="G112"/>
  <c r="G111"/>
  <c r="I9"/>
  <c r="G414"/>
  <c r="G352"/>
  <c r="G36"/>
  <c r="G120"/>
  <c r="E239"/>
  <c r="I262"/>
  <c r="I261"/>
  <c r="I482"/>
  <c r="I483"/>
  <c r="I54"/>
  <c r="I55" s="1"/>
  <c r="E40" i="128"/>
  <c r="E30"/>
  <c r="H30"/>
  <c r="J30" s="1"/>
  <c r="K30" s="1"/>
  <c r="H40"/>
  <c r="D35"/>
  <c r="O12" s="1"/>
  <c r="E35"/>
  <c r="I41"/>
  <c r="C36"/>
  <c r="E36"/>
  <c r="E14"/>
  <c r="E18"/>
  <c r="H18"/>
  <c r="J18"/>
  <c r="E19"/>
  <c r="H19"/>
  <c r="J19"/>
  <c r="E20"/>
  <c r="E21"/>
  <c r="H21"/>
  <c r="J21"/>
  <c r="K21"/>
  <c r="E22"/>
  <c r="H22"/>
  <c r="E23"/>
  <c r="H23"/>
  <c r="E24"/>
  <c r="H24"/>
  <c r="J24"/>
  <c r="K24"/>
  <c r="E25"/>
  <c r="H25"/>
  <c r="E26"/>
  <c r="H26"/>
  <c r="J26" s="1"/>
  <c r="E27"/>
  <c r="H27"/>
  <c r="J27" s="1"/>
  <c r="E28"/>
  <c r="E29"/>
  <c r="H29"/>
  <c r="J29" s="1"/>
  <c r="K29" s="1"/>
  <c r="E31"/>
  <c r="H31"/>
  <c r="J31"/>
  <c r="K31" s="1"/>
  <c r="E32"/>
  <c r="H32"/>
  <c r="E33"/>
  <c r="H33" s="1"/>
  <c r="J33" s="1"/>
  <c r="E34"/>
  <c r="H34" s="1"/>
  <c r="J34" s="1"/>
  <c r="E37"/>
  <c r="E38"/>
  <c r="E39"/>
  <c r="H39"/>
  <c r="J39" s="1"/>
  <c r="K39" s="1"/>
  <c r="G6" i="37"/>
  <c r="C41" i="128"/>
  <c r="E16"/>
  <c r="H16"/>
  <c r="G415" i="37"/>
  <c r="G472" s="1"/>
  <c r="G350"/>
  <c r="O351"/>
  <c r="O36"/>
  <c r="O48"/>
  <c r="O73"/>
  <c r="O74"/>
  <c r="P36"/>
  <c r="I239"/>
  <c r="G239"/>
  <c r="D239"/>
  <c r="I222"/>
  <c r="G222"/>
  <c r="E222"/>
  <c r="G212"/>
  <c r="E212"/>
  <c r="I211"/>
  <c r="I210"/>
  <c r="I209"/>
  <c r="I212" s="1"/>
  <c r="I115"/>
  <c r="G164"/>
  <c r="G182"/>
  <c r="P182"/>
  <c r="G181"/>
  <c r="P181"/>
  <c r="G180"/>
  <c r="P180"/>
  <c r="G179"/>
  <c r="P179"/>
  <c r="G178"/>
  <c r="P178"/>
  <c r="G177"/>
  <c r="P177"/>
  <c r="G175"/>
  <c r="G174"/>
  <c r="P174" s="1"/>
  <c r="G172"/>
  <c r="P172" s="1"/>
  <c r="G171"/>
  <c r="P171" s="1"/>
  <c r="G170"/>
  <c r="P176"/>
  <c r="N488"/>
  <c r="P504"/>
  <c r="P505"/>
  <c r="N362"/>
  <c r="G84"/>
  <c r="G76"/>
  <c r="G122"/>
  <c r="G159"/>
  <c r="G167" s="1"/>
  <c r="G390"/>
  <c r="Q12" i="143"/>
  <c r="O12"/>
  <c r="G38"/>
  <c r="E38"/>
  <c r="P10" s="1"/>
  <c r="R10" s="1"/>
  <c r="E33"/>
  <c r="G32"/>
  <c r="E32"/>
  <c r="E34"/>
  <c r="G31"/>
  <c r="G34"/>
  <c r="E31"/>
  <c r="N8"/>
  <c r="R8" s="1"/>
  <c r="G25"/>
  <c r="E25"/>
  <c r="G21"/>
  <c r="E20"/>
  <c r="K21"/>
  <c r="E19"/>
  <c r="E18"/>
  <c r="E17"/>
  <c r="K18"/>
  <c r="E16"/>
  <c r="P11"/>
  <c r="R11" s="1"/>
  <c r="K16"/>
  <c r="E14"/>
  <c r="K15"/>
  <c r="E13"/>
  <c r="E21" s="1"/>
  <c r="G380" i="37"/>
  <c r="J40" i="128"/>
  <c r="K40"/>
  <c r="G12" i="159"/>
  <c r="E33" i="148"/>
  <c r="G33" s="1"/>
  <c r="E34"/>
  <c r="G34" s="1"/>
  <c r="E35"/>
  <c r="G35" s="1"/>
  <c r="E36"/>
  <c r="G36" s="1"/>
  <c r="E37"/>
  <c r="G37" s="1"/>
  <c r="E38"/>
  <c r="G38" s="1"/>
  <c r="E39"/>
  <c r="G39" s="1"/>
  <c r="E40"/>
  <c r="G40" s="1"/>
  <c r="E41"/>
  <c r="G41" s="1"/>
  <c r="E42"/>
  <c r="G42" s="1"/>
  <c r="E43"/>
  <c r="G43" s="1"/>
  <c r="E44"/>
  <c r="G44" s="1"/>
  <c r="E45"/>
  <c r="G45" s="1"/>
  <c r="K55"/>
  <c r="K40"/>
  <c r="E61"/>
  <c r="G61" s="1"/>
  <c r="E62"/>
  <c r="G62" s="1"/>
  <c r="E63"/>
  <c r="G63" s="1"/>
  <c r="E64"/>
  <c r="G64" s="1"/>
  <c r="E65"/>
  <c r="G65" s="1"/>
  <c r="D66"/>
  <c r="I176" i="37"/>
  <c r="I400"/>
  <c r="G140"/>
  <c r="G9" i="159"/>
  <c r="G382" i="37"/>
  <c r="N389" s="1"/>
  <c r="G511"/>
  <c r="G89"/>
  <c r="G95"/>
  <c r="G96" s="1"/>
  <c r="G97" s="1"/>
  <c r="G78"/>
  <c r="D32" i="148"/>
  <c r="D77"/>
  <c r="E76"/>
  <c r="G76"/>
  <c r="J52"/>
  <c r="E32"/>
  <c r="G32" s="1"/>
  <c r="E31"/>
  <c r="G31"/>
  <c r="E27"/>
  <c r="G27"/>
  <c r="E28"/>
  <c r="G28"/>
  <c r="E29"/>
  <c r="G29"/>
  <c r="E30"/>
  <c r="G30"/>
  <c r="E59"/>
  <c r="G59"/>
  <c r="E60"/>
  <c r="G60"/>
  <c r="G31" i="159"/>
  <c r="G34"/>
  <c r="G35" s="1"/>
  <c r="G30"/>
  <c r="G28"/>
  <c r="G32" s="1"/>
  <c r="O57" i="128"/>
  <c r="O53"/>
  <c r="O58" s="1"/>
  <c r="I329" i="37"/>
  <c r="I332" s="1"/>
  <c r="I331"/>
  <c r="G499"/>
  <c r="G24" i="114"/>
  <c r="D29" s="1"/>
  <c r="D30" s="1"/>
  <c r="E24"/>
  <c r="D23"/>
  <c r="K11" i="159"/>
  <c r="D26" i="148"/>
  <c r="D22"/>
  <c r="G22" s="1"/>
  <c r="D83"/>
  <c r="E82"/>
  <c r="G82" s="1"/>
  <c r="G83" s="1"/>
  <c r="N35" i="159"/>
  <c r="N36"/>
  <c r="X8"/>
  <c r="X9"/>
  <c r="X11" s="1"/>
  <c r="X27" s="1"/>
  <c r="X30" s="1"/>
  <c r="X29"/>
  <c r="X13"/>
  <c r="I360" i="37"/>
  <c r="I66"/>
  <c r="G8" i="159"/>
  <c r="N10"/>
  <c r="N8"/>
  <c r="O38"/>
  <c r="O34"/>
  <c r="O31"/>
  <c r="O33" s="1"/>
  <c r="O36" s="1"/>
  <c r="O39" s="1"/>
  <c r="L10" i="158"/>
  <c r="G69" i="37"/>
  <c r="N68"/>
  <c r="G360"/>
  <c r="G201"/>
  <c r="G154"/>
  <c r="G146"/>
  <c r="G518"/>
  <c r="I159"/>
  <c r="I409"/>
  <c r="I68"/>
  <c r="I69" s="1"/>
  <c r="I34"/>
  <c r="I120"/>
  <c r="I121" s="1"/>
  <c r="I178"/>
  <c r="I166"/>
  <c r="I167" s="1"/>
  <c r="I184" s="1"/>
  <c r="I147" s="1"/>
  <c r="I505"/>
  <c r="I414"/>
  <c r="I415"/>
  <c r="I512"/>
  <c r="I426"/>
  <c r="I440"/>
  <c r="I422"/>
  <c r="I67"/>
  <c r="I78"/>
  <c r="I418"/>
  <c r="I511"/>
  <c r="I518" s="1"/>
  <c r="I504"/>
  <c r="I506" s="1"/>
  <c r="I396"/>
  <c r="I397"/>
  <c r="E75" i="148"/>
  <c r="G75" s="1"/>
  <c r="E58"/>
  <c r="G58" s="1"/>
  <c r="E57"/>
  <c r="G57" s="1"/>
  <c r="E56"/>
  <c r="G56" s="1"/>
  <c r="E26"/>
  <c r="G26" s="1"/>
  <c r="E25"/>
  <c r="G25" s="1"/>
  <c r="E24"/>
  <c r="G24" s="1"/>
  <c r="E23"/>
  <c r="G23" s="1"/>
  <c r="E22"/>
  <c r="E21"/>
  <c r="G21"/>
  <c r="E20"/>
  <c r="G20"/>
  <c r="E19"/>
  <c r="G19"/>
  <c r="E18"/>
  <c r="G18"/>
  <c r="E17"/>
  <c r="G17"/>
  <c r="E16"/>
  <c r="G16"/>
  <c r="E74"/>
  <c r="G74"/>
  <c r="E55"/>
  <c r="G55"/>
  <c r="E54"/>
  <c r="G54"/>
  <c r="E53"/>
  <c r="G53"/>
  <c r="E15"/>
  <c r="G15"/>
  <c r="E14"/>
  <c r="G14"/>
  <c r="E13"/>
  <c r="G13"/>
  <c r="E12"/>
  <c r="G12"/>
  <c r="E11"/>
  <c r="G11"/>
  <c r="E10"/>
  <c r="G10"/>
  <c r="E9"/>
  <c r="G9"/>
  <c r="E8"/>
  <c r="G8"/>
  <c r="E7"/>
  <c r="G7"/>
  <c r="I410" i="37"/>
  <c r="I352"/>
  <c r="I350"/>
  <c r="I351" s="1"/>
  <c r="I353" s="1"/>
  <c r="G349" s="1"/>
  <c r="G351" s="1"/>
  <c r="G353" s="1"/>
  <c r="I152"/>
  <c r="I151"/>
  <c r="I154" s="1"/>
  <c r="I146" s="1"/>
  <c r="I148" s="1"/>
  <c r="I140"/>
  <c r="I84"/>
  <c r="I122"/>
  <c r="I180"/>
  <c r="I161"/>
  <c r="K274" i="143"/>
  <c r="K271"/>
  <c r="I89" i="37"/>
  <c r="I95"/>
  <c r="I76"/>
  <c r="I173"/>
  <c r="I172"/>
  <c r="I171"/>
  <c r="I183" s="1"/>
  <c r="I390"/>
  <c r="I273" i="143"/>
  <c r="G271"/>
  <c r="G270"/>
  <c r="G285"/>
  <c r="G282"/>
  <c r="G281"/>
  <c r="G280"/>
  <c r="G266"/>
  <c r="G264"/>
  <c r="G267" s="1"/>
  <c r="G263"/>
  <c r="I255"/>
  <c r="H255"/>
  <c r="I221"/>
  <c r="G221"/>
  <c r="B221"/>
  <c r="I193"/>
  <c r="K185"/>
  <c r="I181"/>
  <c r="I183"/>
  <c r="G181"/>
  <c r="G183"/>
  <c r="I175"/>
  <c r="G174"/>
  <c r="G175" s="1"/>
  <c r="G173"/>
  <c r="G172"/>
  <c r="G141"/>
  <c r="K140"/>
  <c r="K139"/>
  <c r="K138"/>
  <c r="G135"/>
  <c r="K137"/>
  <c r="K136"/>
  <c r="K135"/>
  <c r="K134"/>
  <c r="K133"/>
  <c r="K132"/>
  <c r="I129"/>
  <c r="K131" s="1"/>
  <c r="K130"/>
  <c r="I127"/>
  <c r="I139" s="1"/>
  <c r="G126"/>
  <c r="K128"/>
  <c r="G125"/>
  <c r="K127"/>
  <c r="K126"/>
  <c r="K125"/>
  <c r="K124"/>
  <c r="K123"/>
  <c r="K122"/>
  <c r="K121"/>
  <c r="G118"/>
  <c r="K120"/>
  <c r="K119"/>
  <c r="K118"/>
  <c r="K117"/>
  <c r="K116"/>
  <c r="K115"/>
  <c r="K114"/>
  <c r="K113"/>
  <c r="G110"/>
  <c r="K112" s="1"/>
  <c r="N111"/>
  <c r="G109"/>
  <c r="K111" s="1"/>
  <c r="G108"/>
  <c r="K110" s="1"/>
  <c r="I90"/>
  <c r="G89"/>
  <c r="G90"/>
  <c r="G71"/>
  <c r="I68"/>
  <c r="G67"/>
  <c r="G66"/>
  <c r="G65"/>
  <c r="G68"/>
  <c r="G64"/>
  <c r="G56"/>
  <c r="I53"/>
  <c r="G52"/>
  <c r="G51"/>
  <c r="I7"/>
  <c r="G53"/>
  <c r="G7"/>
  <c r="N6" s="1"/>
  <c r="R6" s="1"/>
  <c r="M7" i="128"/>
  <c r="N7" s="1"/>
  <c r="E45"/>
  <c r="K45"/>
  <c r="O44" s="1"/>
  <c r="E67"/>
  <c r="I344" i="37"/>
  <c r="G292"/>
  <c r="J25" i="128"/>
  <c r="K25"/>
  <c r="J32"/>
  <c r="K32"/>
  <c r="K34"/>
  <c r="J16"/>
  <c r="K16" s="1"/>
  <c r="J51"/>
  <c r="K51" s="1"/>
  <c r="J47"/>
  <c r="I47"/>
  <c r="H47"/>
  <c r="G47"/>
  <c r="G49"/>
  <c r="D47"/>
  <c r="C47"/>
  <c r="Q42"/>
  <c r="S41" s="1"/>
  <c r="O42"/>
  <c r="M41"/>
  <c r="G41"/>
  <c r="N39"/>
  <c r="N37"/>
  <c r="N36"/>
  <c r="N35"/>
  <c r="N33"/>
  <c r="N31"/>
  <c r="N28"/>
  <c r="N26"/>
  <c r="N23"/>
  <c r="N22"/>
  <c r="N21"/>
  <c r="N19"/>
  <c r="N18"/>
  <c r="J14"/>
  <c r="K14" s="1"/>
  <c r="I201" i="37"/>
  <c r="I96"/>
  <c r="K33" i="128"/>
  <c r="J23"/>
  <c r="K23" s="1"/>
  <c r="K18"/>
  <c r="I49"/>
  <c r="J22"/>
  <c r="K22" s="1"/>
  <c r="P35"/>
  <c r="P42" s="1"/>
  <c r="I269" i="37"/>
  <c r="G267"/>
  <c r="G269" s="1"/>
  <c r="E140"/>
  <c r="I321"/>
  <c r="I391"/>
  <c r="I362" s="1"/>
  <c r="I381"/>
  <c r="I383"/>
  <c r="A127" i="60"/>
  <c r="A142" s="1"/>
  <c r="A153" s="1"/>
  <c r="G186" i="143"/>
  <c r="A70" i="60"/>
  <c r="A74" s="1"/>
  <c r="A104" s="1"/>
  <c r="A107" s="1"/>
  <c r="L140" i="37"/>
  <c r="L146"/>
  <c r="B28"/>
  <c r="B27"/>
  <c r="O33" i="38"/>
  <c r="O41" s="1"/>
  <c r="N41"/>
  <c r="S41" s="1"/>
  <c r="N31" i="43"/>
  <c r="Q72" i="38"/>
  <c r="N21" i="41"/>
  <c r="P62"/>
  <c r="N62"/>
  <c r="N65" s="1"/>
  <c r="T64"/>
  <c r="T63"/>
  <c r="T62"/>
  <c r="T65"/>
  <c r="R63"/>
  <c r="R62"/>
  <c r="R65" s="1"/>
  <c r="P64"/>
  <c r="P65" s="1"/>
  <c r="C10" i="46"/>
  <c r="N30" i="41"/>
  <c r="N33"/>
  <c r="I80"/>
  <c r="R44"/>
  <c r="R32"/>
  <c r="R23"/>
  <c r="R28"/>
  <c r="R31"/>
  <c r="R30"/>
  <c r="R29"/>
  <c r="R21"/>
  <c r="R36" s="1"/>
  <c r="N149"/>
  <c r="N150"/>
  <c r="N28"/>
  <c r="N29"/>
  <c r="N44"/>
  <c r="N154"/>
  <c r="N153"/>
  <c r="N152"/>
  <c r="N31"/>
  <c r="N151"/>
  <c r="N32"/>
  <c r="N148"/>
  <c r="N155" s="1"/>
  <c r="N23" s="1"/>
  <c r="N36" s="1"/>
  <c r="C49" i="46" s="1"/>
  <c r="N146" i="41"/>
  <c r="N12"/>
  <c r="C41" i="46"/>
  <c r="C43" s="1"/>
  <c r="C46" s="1"/>
  <c r="G36" i="43"/>
  <c r="C78" i="46"/>
  <c r="C75"/>
  <c r="C77"/>
  <c r="C79" s="1"/>
  <c r="C35"/>
  <c r="C36" s="1"/>
  <c r="C38" s="1"/>
  <c r="C30"/>
  <c r="C25"/>
  <c r="C28"/>
  <c r="C11"/>
  <c r="C14"/>
  <c r="C208"/>
  <c r="C207"/>
  <c r="C206"/>
  <c r="E193"/>
  <c r="E195"/>
  <c r="C193"/>
  <c r="C195"/>
  <c r="L183"/>
  <c r="L90"/>
  <c r="E181"/>
  <c r="C180"/>
  <c r="C182" s="1"/>
  <c r="E178"/>
  <c r="E180" s="1"/>
  <c r="E182" s="1"/>
  <c r="E169"/>
  <c r="C169"/>
  <c r="E163"/>
  <c r="C163"/>
  <c r="C142"/>
  <c r="E134"/>
  <c r="E136" s="1"/>
  <c r="C134"/>
  <c r="C136" s="1"/>
  <c r="L125"/>
  <c r="L109" s="1"/>
  <c r="C124"/>
  <c r="C125" s="1"/>
  <c r="C123"/>
  <c r="E122"/>
  <c r="E123"/>
  <c r="E125" s="1"/>
  <c r="L117"/>
  <c r="L118" s="1"/>
  <c r="L113"/>
  <c r="C113"/>
  <c r="C114"/>
  <c r="C117" s="1"/>
  <c r="C112"/>
  <c r="E111"/>
  <c r="E112"/>
  <c r="E105"/>
  <c r="E107"/>
  <c r="C105"/>
  <c r="C107"/>
  <c r="C100"/>
  <c r="C98"/>
  <c r="E97"/>
  <c r="E96"/>
  <c r="E98" s="1"/>
  <c r="E100" s="1"/>
  <c r="E91"/>
  <c r="E92"/>
  <c r="E94" s="1"/>
  <c r="C92"/>
  <c r="C94" s="1"/>
  <c r="E84"/>
  <c r="E86" s="1"/>
  <c r="E88" s="1"/>
  <c r="E77"/>
  <c r="E79"/>
  <c r="C69"/>
  <c r="E67"/>
  <c r="E68" s="1"/>
  <c r="E66"/>
  <c r="C66"/>
  <c r="C68" s="1"/>
  <c r="C70" s="1"/>
  <c r="C72" s="1"/>
  <c r="E61"/>
  <c r="C61"/>
  <c r="E53"/>
  <c r="E56" s="1"/>
  <c r="E40"/>
  <c r="E36"/>
  <c r="E38"/>
  <c r="E26"/>
  <c r="E24"/>
  <c r="E29" s="1"/>
  <c r="E32" s="1"/>
  <c r="E8"/>
  <c r="E15"/>
  <c r="E17" s="1"/>
  <c r="R46" i="41"/>
  <c r="R48" s="1"/>
  <c r="N63"/>
  <c r="B52"/>
  <c r="B70"/>
  <c r="O70" i="38"/>
  <c r="O73"/>
  <c r="O24"/>
  <c r="O26" s="1"/>
  <c r="O28"/>
  <c r="O12"/>
  <c r="O11"/>
  <c r="O13" s="1"/>
  <c r="O15" s="1"/>
  <c r="O17" s="1"/>
  <c r="Q167"/>
  <c r="Q169" s="1"/>
  <c r="Q74"/>
  <c r="Q73" s="1"/>
  <c r="I16" i="43"/>
  <c r="I15"/>
  <c r="G34"/>
  <c r="J21"/>
  <c r="F21"/>
  <c r="D21"/>
  <c r="G20"/>
  <c r="G19"/>
  <c r="E18"/>
  <c r="G17"/>
  <c r="N17" s="1"/>
  <c r="G16"/>
  <c r="G15"/>
  <c r="K15" s="1"/>
  <c r="L15" s="1"/>
  <c r="N15" s="1"/>
  <c r="G14"/>
  <c r="K14"/>
  <c r="L14" s="1"/>
  <c r="N14" s="1"/>
  <c r="G13"/>
  <c r="G12"/>
  <c r="G11"/>
  <c r="G10"/>
  <c r="K10"/>
  <c r="L10" s="1"/>
  <c r="G9"/>
  <c r="G8"/>
  <c r="G7"/>
  <c r="K7" s="1"/>
  <c r="L7" s="1"/>
  <c r="O6"/>
  <c r="L6"/>
  <c r="G6"/>
  <c r="N6" s="1"/>
  <c r="N164" i="41"/>
  <c r="N166"/>
  <c r="R159"/>
  <c r="P103"/>
  <c r="N88"/>
  <c r="G87"/>
  <c r="G88" s="1"/>
  <c r="P80"/>
  <c r="B77"/>
  <c r="B83"/>
  <c r="B90" s="1"/>
  <c r="B97" s="1"/>
  <c r="P48"/>
  <c r="T48"/>
  <c r="T36"/>
  <c r="P36"/>
  <c r="R12"/>
  <c r="P12"/>
  <c r="T6"/>
  <c r="R6"/>
  <c r="P6"/>
  <c r="B12"/>
  <c r="B19" s="1"/>
  <c r="B42" s="1"/>
  <c r="N251" i="38"/>
  <c r="N253"/>
  <c r="N242"/>
  <c r="G204"/>
  <c r="G207" s="1"/>
  <c r="Q122"/>
  <c r="O122"/>
  <c r="S116"/>
  <c r="Q116"/>
  <c r="O116"/>
  <c r="N63"/>
  <c r="N66"/>
  <c r="Q246"/>
  <c r="O222"/>
  <c r="N207"/>
  <c r="O196"/>
  <c r="G196"/>
  <c r="I196"/>
  <c r="B193"/>
  <c r="B199"/>
  <c r="B209" s="1"/>
  <c r="B216" s="1"/>
  <c r="B172"/>
  <c r="J61" i="36"/>
  <c r="N169" i="38"/>
  <c r="O169"/>
  <c r="S146"/>
  <c r="Q146"/>
  <c r="O146"/>
  <c r="O100"/>
  <c r="O89"/>
  <c r="N91"/>
  <c r="C50" i="46"/>
  <c r="Y85" i="38"/>
  <c r="W79"/>
  <c r="W85" s="1"/>
  <c r="O76"/>
  <c r="N76"/>
  <c r="O66"/>
  <c r="O44"/>
  <c r="N44"/>
  <c r="V30"/>
  <c r="B31"/>
  <c r="B44" s="1"/>
  <c r="B57" s="1"/>
  <c r="B68" s="1"/>
  <c r="B79" s="1"/>
  <c r="N146"/>
  <c r="S169"/>
  <c r="H7" i="34"/>
  <c r="C8" i="46"/>
  <c r="C15"/>
  <c r="C17" s="1"/>
  <c r="C20" s="1"/>
  <c r="C16"/>
  <c r="J86" i="34"/>
  <c r="F205"/>
  <c r="F207" s="1"/>
  <c r="H71" s="1"/>
  <c r="H86" s="1"/>
  <c r="O85"/>
  <c r="O84"/>
  <c r="O83"/>
  <c r="O82"/>
  <c r="O81"/>
  <c r="O80"/>
  <c r="O79"/>
  <c r="O78"/>
  <c r="O77"/>
  <c r="O76"/>
  <c r="O75"/>
  <c r="O74"/>
  <c r="O72"/>
  <c r="Q207"/>
  <c r="L71"/>
  <c r="J52" i="36"/>
  <c r="F194" i="34"/>
  <c r="H73"/>
  <c r="J144"/>
  <c r="A137"/>
  <c r="H130"/>
  <c r="J119"/>
  <c r="I119"/>
  <c r="K116"/>
  <c r="L105"/>
  <c r="J106"/>
  <c r="H106"/>
  <c r="H98"/>
  <c r="L98" s="1"/>
  <c r="J98"/>
  <c r="A69"/>
  <c r="H63"/>
  <c r="H51"/>
  <c r="H50"/>
  <c r="H49"/>
  <c r="H48"/>
  <c r="H52" s="1"/>
  <c r="H39"/>
  <c r="H41"/>
  <c r="H12" s="1"/>
  <c r="H17"/>
  <c r="J14"/>
  <c r="J26"/>
  <c r="A10"/>
  <c r="J7"/>
  <c r="I208" i="33"/>
  <c r="E208"/>
  <c r="A183"/>
  <c r="I178"/>
  <c r="G176"/>
  <c r="G173"/>
  <c r="I164"/>
  <c r="I166"/>
  <c r="I153"/>
  <c r="I155"/>
  <c r="I115"/>
  <c r="G114"/>
  <c r="G115" s="1"/>
  <c r="A104"/>
  <c r="I98"/>
  <c r="G66"/>
  <c r="E66"/>
  <c r="G55"/>
  <c r="I55" s="1"/>
  <c r="I54"/>
  <c r="I53"/>
  <c r="I52"/>
  <c r="I51"/>
  <c r="I50"/>
  <c r="I49"/>
  <c r="I48"/>
  <c r="I47"/>
  <c r="G43"/>
  <c r="I42"/>
  <c r="I41"/>
  <c r="I40"/>
  <c r="I39"/>
  <c r="I38"/>
  <c r="I37"/>
  <c r="I36"/>
  <c r="I35"/>
  <c r="I29"/>
  <c r="G29"/>
  <c r="J26" i="36"/>
  <c r="C12" i="46"/>
  <c r="N6" i="41"/>
  <c r="N116" i="38"/>
  <c r="T12" i="41"/>
  <c r="S122" i="38"/>
  <c r="Q54" i="41"/>
  <c r="P54"/>
  <c r="L194" i="34"/>
  <c r="L73" s="1"/>
  <c r="J12" i="36"/>
  <c r="J14" s="1"/>
  <c r="J27" s="1"/>
  <c r="J42" s="1"/>
  <c r="J53" s="1"/>
  <c r="J57" s="1"/>
  <c r="J60" s="1"/>
  <c r="J68"/>
  <c r="R54" i="41"/>
  <c r="R66" s="1"/>
  <c r="R67" s="1"/>
  <c r="S54"/>
  <c r="T54"/>
  <c r="T67" s="1"/>
  <c r="N122" i="38"/>
  <c r="N71"/>
  <c r="N73" s="1"/>
  <c r="N77" s="1"/>
  <c r="N54" i="41"/>
  <c r="C83" i="46"/>
  <c r="C84"/>
  <c r="C86" s="1"/>
  <c r="C88" s="1"/>
  <c r="C82"/>
  <c r="G178" i="33"/>
  <c r="I104" i="37"/>
  <c r="G101"/>
  <c r="G104" s="1"/>
  <c r="G75"/>
  <c r="G85" s="1"/>
  <c r="E117" i="46"/>
  <c r="E70"/>
  <c r="E72" s="1"/>
  <c r="C23"/>
  <c r="C29" s="1"/>
  <c r="E43"/>
  <c r="E46" s="1"/>
  <c r="E57" s="1"/>
  <c r="K11" i="43"/>
  <c r="L11"/>
  <c r="N11" s="1"/>
  <c r="N86" i="34"/>
  <c r="I75" i="37"/>
  <c r="I85" s="1"/>
  <c r="C31" i="46"/>
  <c r="I123" i="37"/>
  <c r="G119" s="1"/>
  <c r="G121" s="1"/>
  <c r="G123" s="1"/>
  <c r="N123" s="1"/>
  <c r="I15"/>
  <c r="I17"/>
  <c r="I18" s="1"/>
  <c r="G192" i="143"/>
  <c r="I35" i="37"/>
  <c r="I37"/>
  <c r="P38"/>
  <c r="I9" i="158"/>
  <c r="I10"/>
  <c r="I13" s="1"/>
  <c r="I25" s="1"/>
  <c r="G143" i="143"/>
  <c r="G145"/>
  <c r="G39" i="37"/>
  <c r="I19" i="158"/>
  <c r="I498" i="37"/>
  <c r="I500" s="1"/>
  <c r="G496" s="1"/>
  <c r="I197" i="143"/>
  <c r="I199" s="1"/>
  <c r="I211"/>
  <c r="I210"/>
  <c r="I279" i="37"/>
  <c r="I330"/>
  <c r="I334"/>
  <c r="G191" i="143" s="1"/>
  <c r="G193" s="1"/>
  <c r="G197"/>
  <c r="G199" s="1"/>
  <c r="G28" i="37"/>
  <c r="G33"/>
  <c r="G35" s="1"/>
  <c r="G37" s="1"/>
  <c r="K8" i="43"/>
  <c r="L8" s="1"/>
  <c r="N8" s="1"/>
  <c r="N48" i="41"/>
  <c r="C24" i="46"/>
  <c r="S63" i="41"/>
  <c r="S65" s="1"/>
  <c r="E47" i="128"/>
  <c r="G139" i="143"/>
  <c r="K16" i="43"/>
  <c r="N10"/>
  <c r="G255" i="143"/>
  <c r="H17" i="128"/>
  <c r="J17" s="1"/>
  <c r="K17" s="1"/>
  <c r="C11" i="180"/>
  <c r="G5" i="178"/>
  <c r="C6" s="1"/>
  <c r="E6" s="1"/>
  <c r="F15"/>
  <c r="G42"/>
  <c r="C43" s="1"/>
  <c r="E43"/>
  <c r="F43" s="1"/>
  <c r="G8" i="37"/>
  <c r="G15" i="178"/>
  <c r="C16"/>
  <c r="E16" s="1"/>
  <c r="F16" s="1"/>
  <c r="F17" s="1"/>
  <c r="C32"/>
  <c r="E32" s="1"/>
  <c r="K13" i="43"/>
  <c r="L13"/>
  <c r="N13" s="1"/>
  <c r="K17"/>
  <c r="L17" s="1"/>
  <c r="I291" i="37"/>
  <c r="I294" s="1"/>
  <c r="K273" i="143"/>
  <c r="O73" i="34"/>
  <c r="F32" i="178"/>
  <c r="I61" i="33"/>
  <c r="O7" i="128"/>
  <c r="K19" i="43"/>
  <c r="L19"/>
  <c r="N19" s="1"/>
  <c r="K47" i="128"/>
  <c r="M47" s="1"/>
  <c r="M48" s="1"/>
  <c r="G66" i="148"/>
  <c r="P175" i="37"/>
  <c r="H38" i="128"/>
  <c r="J38" s="1"/>
  <c r="H13" i="34"/>
  <c r="G77" i="148"/>
  <c r="H20" i="128"/>
  <c r="J20" s="1"/>
  <c r="K20" s="1"/>
  <c r="I263" i="37"/>
  <c r="G261" s="1"/>
  <c r="I282"/>
  <c r="I283" s="1"/>
  <c r="I284" s="1"/>
  <c r="G277" s="1"/>
  <c r="D47" i="148"/>
  <c r="K41" s="1"/>
  <c r="H28" i="128"/>
  <c r="J28" s="1"/>
  <c r="K28" s="1"/>
  <c r="I472" i="37"/>
  <c r="K26" i="128"/>
  <c r="K27"/>
  <c r="K19"/>
  <c r="G115" i="37"/>
  <c r="G32" i="178"/>
  <c r="C33"/>
  <c r="E33" s="1"/>
  <c r="L48" i="148"/>
  <c r="G16" i="178"/>
  <c r="C17" s="1"/>
  <c r="E17" s="1"/>
  <c r="H10" i="129"/>
  <c r="H15"/>
  <c r="H18" s="1"/>
  <c r="G210" i="143"/>
  <c r="G211"/>
  <c r="B10" i="180" l="1"/>
  <c r="D10" s="1"/>
  <c r="G212" i="143"/>
  <c r="G216" s="1"/>
  <c r="J62" i="36"/>
  <c r="J66" s="1"/>
  <c r="T66" i="41"/>
  <c r="N66"/>
  <c r="N67" s="1"/>
  <c r="F33" i="178"/>
  <c r="N69" i="37"/>
  <c r="I28"/>
  <c r="B9" i="180"/>
  <c r="D9" s="1"/>
  <c r="B6"/>
  <c r="D6" s="1"/>
  <c r="E34" i="114"/>
  <c r="D33"/>
  <c r="E127" i="46"/>
  <c r="G47" i="148"/>
  <c r="G68" s="1"/>
  <c r="K38" i="128"/>
  <c r="G17" i="178"/>
  <c r="C18" s="1"/>
  <c r="E18" s="1"/>
  <c r="F18" s="1"/>
  <c r="F44"/>
  <c r="G43"/>
  <c r="C44" s="1"/>
  <c r="E44" s="1"/>
  <c r="B7" i="180"/>
  <c r="D7" s="1"/>
  <c r="B116" i="38"/>
  <c r="B122" s="1"/>
  <c r="B129" s="1"/>
  <c r="B163" s="1"/>
  <c r="B93"/>
  <c r="B8" i="180"/>
  <c r="D8" s="1"/>
  <c r="B5"/>
  <c r="B11" s="1"/>
  <c r="O54" i="37"/>
  <c r="N28"/>
  <c r="O52"/>
  <c r="I18" i="158"/>
  <c r="I20" s="1"/>
  <c r="O58" i="37"/>
  <c r="G308"/>
  <c r="O47"/>
  <c r="O49" s="1"/>
  <c r="G7"/>
  <c r="G9" s="1"/>
  <c r="O480"/>
  <c r="O467"/>
  <c r="O472"/>
  <c r="O476"/>
  <c r="K141" i="143"/>
  <c r="F6" i="178"/>
  <c r="K20" i="43"/>
  <c r="L20" s="1"/>
  <c r="N20"/>
  <c r="L86" i="34"/>
  <c r="O86" s="1"/>
  <c r="O71"/>
  <c r="I62" i="33"/>
  <c r="I66" s="1"/>
  <c r="I43"/>
  <c r="I361" i="37"/>
  <c r="I363" s="1"/>
  <c r="G379"/>
  <c r="G381" s="1"/>
  <c r="G383" s="1"/>
  <c r="G361" s="1"/>
  <c r="C57" i="46"/>
  <c r="C127" s="1"/>
  <c r="I97" i="37"/>
  <c r="N97" s="1"/>
  <c r="D68" i="148"/>
  <c r="G13" i="37"/>
  <c r="O77" i="38"/>
  <c r="C49" i="128"/>
  <c r="K272" i="143"/>
  <c r="G273"/>
  <c r="G395" i="37"/>
  <c r="G397" s="1"/>
  <c r="G399" s="1"/>
  <c r="G401" s="1"/>
  <c r="I401"/>
  <c r="G10" i="159"/>
  <c r="G13" s="1"/>
  <c r="G15" s="1"/>
  <c r="O25"/>
  <c r="H37" i="128"/>
  <c r="J37" s="1"/>
  <c r="K37" s="1"/>
  <c r="H35"/>
  <c r="J35" s="1"/>
  <c r="K35" s="1"/>
  <c r="B41"/>
  <c r="N15"/>
  <c r="N98" i="38"/>
  <c r="N100" s="1"/>
  <c r="O81"/>
  <c r="O91" s="1"/>
  <c r="C48" i="46" s="1"/>
  <c r="C51" s="1"/>
  <c r="C53" s="1"/>
  <c r="C56" s="1"/>
  <c r="K12" i="43"/>
  <c r="L12" s="1"/>
  <c r="N12"/>
  <c r="L16"/>
  <c r="N16" s="1"/>
  <c r="I21"/>
  <c r="I42" i="37"/>
  <c r="I27" s="1"/>
  <c r="G18" i="43"/>
  <c r="E21"/>
  <c r="G183" i="37"/>
  <c r="P170"/>
  <c r="H36" i="128"/>
  <c r="J36" s="1"/>
  <c r="K36" s="1"/>
  <c r="P67" i="41"/>
  <c r="G387" i="37"/>
  <c r="G391" s="1"/>
  <c r="K9" i="43"/>
  <c r="N7" i="143"/>
  <c r="K129"/>
  <c r="G21" i="43"/>
  <c r="P66" i="41"/>
  <c r="N33" i="37"/>
  <c r="C53" i="128"/>
  <c r="P12" i="143"/>
  <c r="N7" i="43"/>
  <c r="G104" i="33"/>
  <c r="H26" i="34"/>
  <c r="I399" i="37"/>
  <c r="P7" i="128"/>
  <c r="C32" i="46"/>
  <c r="G30" s="1"/>
  <c r="S66" i="41"/>
  <c r="I212" i="143"/>
  <c r="I216" s="1"/>
  <c r="D5" i="180" l="1"/>
  <c r="D11" s="1"/>
  <c r="F9" i="129"/>
  <c r="H9" s="1"/>
  <c r="N379" i="37"/>
  <c r="E198" i="46"/>
  <c r="F19" i="178"/>
  <c r="G18"/>
  <c r="C19" s="1"/>
  <c r="E19" s="1"/>
  <c r="I220" i="143"/>
  <c r="I222" s="1"/>
  <c r="L9" i="43"/>
  <c r="G44" i="178"/>
  <c r="C45" s="1"/>
  <c r="E45" s="1"/>
  <c r="R7" i="143"/>
  <c r="R12" s="1"/>
  <c r="N12"/>
  <c r="F8" i="129" s="1"/>
  <c r="H8" s="1"/>
  <c r="N41" i="128"/>
  <c r="M44"/>
  <c r="B53"/>
  <c r="K275" i="143"/>
  <c r="M275" s="1"/>
  <c r="L275"/>
  <c r="G6" i="178"/>
  <c r="C7" s="1"/>
  <c r="E7" s="1"/>
  <c r="G33"/>
  <c r="C34" s="1"/>
  <c r="E34" s="1"/>
  <c r="I29" i="37"/>
  <c r="O383"/>
  <c r="G362"/>
  <c r="G363" s="1"/>
  <c r="E309" s="1"/>
  <c r="I309" s="1"/>
  <c r="N380"/>
  <c r="P183"/>
  <c r="G184"/>
  <c r="G147" s="1"/>
  <c r="G148" s="1"/>
  <c r="O148" s="1"/>
  <c r="K18" i="43"/>
  <c r="L18" s="1"/>
  <c r="N18" s="1"/>
  <c r="H11" i="129" l="1"/>
  <c r="H13" s="1"/>
  <c r="N381" i="37"/>
  <c r="G19" i="178"/>
  <c r="F34"/>
  <c r="F45"/>
  <c r="L21" i="43"/>
  <c r="N9"/>
  <c r="N21" s="1"/>
  <c r="N26" s="1"/>
  <c r="F7" i="178"/>
  <c r="K21" i="43"/>
  <c r="K26" s="1"/>
  <c r="K30" s="1"/>
  <c r="G80" i="143" l="1"/>
  <c r="M82" s="1"/>
  <c r="G45" i="178"/>
  <c r="C46" s="1"/>
  <c r="E46" s="1"/>
  <c r="F46"/>
  <c r="G40" i="37"/>
  <c r="G41" s="1"/>
  <c r="G14"/>
  <c r="G15" s="1"/>
  <c r="G7" i="178"/>
  <c r="C8" s="1"/>
  <c r="E8" s="1"/>
  <c r="G34"/>
  <c r="C35" s="1"/>
  <c r="E35" s="1"/>
  <c r="F35"/>
  <c r="C21"/>
  <c r="E21" s="1"/>
  <c r="C20"/>
  <c r="E20" s="1"/>
  <c r="E22" l="1"/>
  <c r="F20"/>
  <c r="G35"/>
  <c r="C36" s="1"/>
  <c r="E36" s="1"/>
  <c r="F36"/>
  <c r="G46"/>
  <c r="C47" s="1"/>
  <c r="E47" s="1"/>
  <c r="F47" s="1"/>
  <c r="G42" i="37"/>
  <c r="O42"/>
  <c r="O44" s="1"/>
  <c r="F8" i="178"/>
  <c r="F48" l="1"/>
  <c r="G48" s="1"/>
  <c r="G47"/>
  <c r="C48" s="1"/>
  <c r="E48" s="1"/>
  <c r="E49" s="1"/>
  <c r="G20"/>
  <c r="F21"/>
  <c r="G21" s="1"/>
  <c r="G8"/>
  <c r="C9" s="1"/>
  <c r="E9" s="1"/>
  <c r="E11" s="1"/>
  <c r="E24" s="1"/>
  <c r="F9"/>
  <c r="G36"/>
  <c r="C37" s="1"/>
  <c r="E37" s="1"/>
  <c r="E38" s="1"/>
  <c r="E51" s="1"/>
  <c r="E308" i="37"/>
  <c r="I308" s="1"/>
  <c r="O308" s="1"/>
  <c r="G27"/>
  <c r="G29" s="1"/>
  <c r="G52" i="178" l="1"/>
  <c r="D15" i="128" s="1"/>
  <c r="F10" i="178"/>
  <c r="G10" s="1"/>
  <c r="G9"/>
  <c r="F37"/>
  <c r="G37" s="1"/>
  <c r="G16" i="37" l="1"/>
  <c r="G17" s="1"/>
  <c r="G18" s="1"/>
  <c r="G160" i="143"/>
  <c r="N12" i="128"/>
  <c r="D41"/>
  <c r="D49" s="1"/>
  <c r="E15"/>
  <c r="E307" i="37" l="1"/>
  <c r="G497"/>
  <c r="G498" s="1"/>
  <c r="G500" s="1"/>
  <c r="H15" i="128"/>
  <c r="E41"/>
  <c r="J15" l="1"/>
  <c r="H41"/>
  <c r="H49" s="1"/>
  <c r="E49"/>
  <c r="G220" i="143" l="1"/>
  <c r="G222" s="1"/>
  <c r="J59" i="128"/>
  <c r="J41"/>
  <c r="J49" s="1"/>
  <c r="K15"/>
  <c r="K41" s="1"/>
  <c r="K49" l="1"/>
  <c r="K53"/>
  <c r="G307" i="37" s="1"/>
  <c r="I307" s="1"/>
  <c r="J61" i="128"/>
  <c r="K56" l="1"/>
  <c r="M49"/>
  <c r="I310" i="37"/>
  <c r="I312" s="1"/>
  <c r="G291" s="1"/>
  <c r="G294" s="1"/>
  <c r="O307"/>
  <c r="O309" s="1"/>
  <c r="O310" s="1"/>
  <c r="F26" i="129" l="1"/>
  <c r="G262" i="37"/>
  <c r="G263" s="1"/>
  <c r="G282"/>
  <c r="G283" s="1"/>
  <c r="N283" s="1"/>
  <c r="G489" l="1"/>
  <c r="G491" s="1"/>
  <c r="G278" l="1"/>
  <c r="N278" l="1"/>
  <c r="G279"/>
  <c r="G284" s="1"/>
</calcChain>
</file>

<file path=xl/sharedStrings.xml><?xml version="1.0" encoding="utf-8"?>
<sst xmlns="http://schemas.openxmlformats.org/spreadsheetml/2006/main" count="2110" uniqueCount="1315">
  <si>
    <t>Bangladesh Submarine Cable Company Limited</t>
  </si>
  <si>
    <t>Taka</t>
  </si>
  <si>
    <t>Share capital</t>
  </si>
  <si>
    <t>Tax holiday reserve</t>
  </si>
  <si>
    <t>Revaluation reserve</t>
  </si>
  <si>
    <t>Retained earnings</t>
  </si>
  <si>
    <t>Lease obligation - net of current portion</t>
  </si>
  <si>
    <t>Deferred tax liabilities</t>
  </si>
  <si>
    <t>Security deposits received from clients</t>
  </si>
  <si>
    <t>Property, plant and equipment</t>
  </si>
  <si>
    <t>Preliminary expenses</t>
  </si>
  <si>
    <t>Investment in shares</t>
  </si>
  <si>
    <t>Cash and cash equivalents</t>
  </si>
  <si>
    <t>Provision for income tax</t>
  </si>
  <si>
    <t>VAT payable</t>
  </si>
  <si>
    <t>Circuit activation charge</t>
  </si>
  <si>
    <t>Electricity and generator fuel</t>
  </si>
  <si>
    <t>Depreciation of core machinery</t>
  </si>
  <si>
    <t>Gross profit</t>
  </si>
  <si>
    <t>Operation and maintenance expenses</t>
  </si>
  <si>
    <t>General and administrative expenses</t>
  </si>
  <si>
    <t>Depreciation on property, plant and equipment</t>
  </si>
  <si>
    <t>Operating profit</t>
  </si>
  <si>
    <t>Particulars</t>
  </si>
  <si>
    <t>Total</t>
  </si>
  <si>
    <t>Dividend paid</t>
  </si>
  <si>
    <t xml:space="preserve"> </t>
  </si>
  <si>
    <t>Share premium</t>
  </si>
  <si>
    <t>Sundry creditors</t>
  </si>
  <si>
    <t>Revenue</t>
  </si>
  <si>
    <t>Managing Director</t>
  </si>
  <si>
    <t xml:space="preserve">  </t>
  </si>
  <si>
    <t>Direct cost of operation</t>
  </si>
  <si>
    <t>Operating expenses</t>
  </si>
  <si>
    <t>Accrued expenses</t>
  </si>
  <si>
    <t xml:space="preserve">Bank interest and other income </t>
  </si>
  <si>
    <t>Adjustment during the period</t>
  </si>
  <si>
    <t>July-Dec-11</t>
  </si>
  <si>
    <t>July-Dec-12</t>
  </si>
  <si>
    <t>Provision for bad &amp; doubtful debts</t>
  </si>
  <si>
    <t>July-March-2013</t>
  </si>
  <si>
    <t>July-March-2012</t>
  </si>
  <si>
    <t>Revenue recognition</t>
  </si>
  <si>
    <t>3.9.1</t>
  </si>
  <si>
    <t>IPLC Rent</t>
  </si>
  <si>
    <t>IPLC (International Private Lease Circuit) rent is billed in the beginning of each month and recorded as income on delivery of the bills to clients and the bills are dispatched once in every month.</t>
  </si>
  <si>
    <t>3.9.2</t>
  </si>
  <si>
    <t>Circuit activation charges revenue consists of charges imposed to clients for activation of new circuits. These are recognized when amounts are collected through demand notes.</t>
  </si>
  <si>
    <t>3.9.3</t>
  </si>
  <si>
    <t>General</t>
  </si>
  <si>
    <t>Figures appearing in these financial statements have been rounded off to the nearest Bangladeshi Taka.</t>
  </si>
  <si>
    <t>31.03.2012</t>
  </si>
  <si>
    <t>30.06.2011</t>
  </si>
  <si>
    <t>Authorized:</t>
  </si>
  <si>
    <t>1,000,000,000 ordinary shares of Taka 10 each</t>
  </si>
  <si>
    <t>Issued and paid up:</t>
  </si>
  <si>
    <t>140 ordinary shares of Taka 10 each fully paid up (note- 4.2)</t>
  </si>
  <si>
    <t xml:space="preserve">67,314,640 ordinary shares of Taka 10 each issued to MoPT, GOB (note- 4.3) </t>
  </si>
  <si>
    <t>20,194,390 bonus shares of Taka 10 each issued in 2010 (note- 4.4)</t>
  </si>
  <si>
    <t>Composition of shareholdings as at 31 March 2012</t>
  </si>
  <si>
    <t>Name of shareholders &amp; respective Ministries/Agencies</t>
  </si>
  <si>
    <t>Represented by</t>
  </si>
  <si>
    <t>No. of shares</t>
  </si>
  <si>
    <t>Value in Taka</t>
  </si>
  <si>
    <t>Ministry of Post &amp; Telecommunications, GOB</t>
  </si>
  <si>
    <t>Mr. Sunil Kanti Bose</t>
  </si>
  <si>
    <t>Ministry of SICT, GOB</t>
  </si>
  <si>
    <t>Mr. Rabindra Nath Roy Chowdhury</t>
  </si>
  <si>
    <t>Ministry of Finance, GOB</t>
  </si>
  <si>
    <t>Mr. Syed Monjurul Islam</t>
  </si>
  <si>
    <t xml:space="preserve">D S C S C, Dhaka Cantonment </t>
  </si>
  <si>
    <t>Col. Shahriar Ahmed</t>
  </si>
  <si>
    <t>Dhaka Chamber of Commerce &amp; Industries</t>
  </si>
  <si>
    <t>Mr. Asif Ibrahim</t>
  </si>
  <si>
    <t>United International University</t>
  </si>
  <si>
    <t xml:space="preserve">Dr. Raqibul Mostafa </t>
  </si>
  <si>
    <t>Mr. Md. Monwar Hossain</t>
  </si>
  <si>
    <t>Composition of shareholdings as at 30 June 2011</t>
  </si>
  <si>
    <t>Mr. Abul kasem khan</t>
  </si>
  <si>
    <t>A distribution schedule of the shares as at 31 March 2012 is given below as required by listing regulations:</t>
  </si>
  <si>
    <t>Slabs by number of shares</t>
  </si>
  <si>
    <t>Number of shareholders</t>
  </si>
  <si>
    <t>Number of shares</t>
  </si>
  <si>
    <t>Holdings %</t>
  </si>
  <si>
    <t>Less than 500</t>
  </si>
  <si>
    <t>Above 1,000,000</t>
  </si>
  <si>
    <t>The entire amount of  Taka 1,400 of the above paid up capital has been paid by the Government of Bangladesh.</t>
  </si>
  <si>
    <t>Basis to issue of 6,731,464 ordinary shares to the Ministry of Post &amp; Telecommunications, GoB</t>
  </si>
  <si>
    <t xml:space="preserve">As contained in note - 1, a Vendor agreement was executed between the representatives of the Government of Bangladesh (GOB) and the Company on 30 June 2008 incorporating certain assets and liabilities inherited from Bangladesh Telecommunication Company Limited (BTCL) (formerly Bangladesh Telephone and Telegraph Board - BTTB). The balance of net worth was agreed to settle by issuing shares to the Government. In the year  2009 - 2010, out of the balance available in this account, the Company has issued 6,731,464 ordinary shares of Taka 100 each totaling share capital amounting to Taka 673,146,400 in favor of the Ministry of Post and Telecommunications, Government of the Peoples Republic of Bangladesh in consideration of the same amount of Government equity after obtaining consent from the Securities and Exchange Commission (SEC). </t>
  </si>
  <si>
    <t>Further, the aforesaid amount of Taka 673,146,412 being difference between assets and liabilities as taken over through Vendor agreement for issuing of shares to the Government. The Company has acquired certain assets and liabilities procured / emanated between 01 October 2007 to 30 June 2008.</t>
  </si>
  <si>
    <t xml:space="preserve">In 2009-2010,  the Company has issued 20,194,390 bonus shares of Taka 10 each totaling share capital amounting to Taka 201,943,900 in favor of the Ministry of Post and Telecommunications, Government of the Peoples Republic of Bangladesh  and consent has been obtained from the Securities and Exchange Commission (SEC). </t>
  </si>
  <si>
    <t>Land measuring 5.49 acres owned by the company situated at Cox's Bazar has been revalued and the difference between cost and estimated fair value has been treated as revaluation reserve by an independent C.A.firm.</t>
  </si>
  <si>
    <t xml:space="preserve">The Government of Bangladesh (GOB)  entered into a lease agreement with Islamic Development Bank (IDB) on 12 February 2005. The Company has classified  this lease as finance lease and accordingly, accounted for liabilities for lease obligations and corresponding lease assets  in the financial statements. The principal amount payable after the balance sheet date are as follows: </t>
  </si>
  <si>
    <t>Finance lease liabilities - minimum lease payments</t>
  </si>
  <si>
    <t>Payable not later than one year</t>
  </si>
  <si>
    <t>Payable later than one year but not later than 5 years</t>
  </si>
  <si>
    <t>Interest rate for the above lease is of 6 months LIBOR + 2.4%. As applicable present LIBOR is 0.41250%, present interest rate is 2.8125%.</t>
  </si>
  <si>
    <t>Deferred tax liabilities has been recognized in accordance with the provision of BAS 12 based on the taxable temporary difference in carrying amount of assets / liabilities and its tax base. Related deferred tax expense has been recognised in profit and loss account.</t>
  </si>
  <si>
    <t>Deferred tax liabilities is arrived at as follows:</t>
  </si>
  <si>
    <t>Taxable</t>
  </si>
  <si>
    <t xml:space="preserve">Carrying amount on </t>
  </si>
  <si>
    <t>temporary</t>
  </si>
  <si>
    <t xml:space="preserve">                           balance sheet date</t>
  </si>
  <si>
    <t>Tax base</t>
  </si>
  <si>
    <t>difference</t>
  </si>
  <si>
    <t>Period ended 31st March-2012</t>
  </si>
  <si>
    <r>
      <t xml:space="preserve">                                        </t>
    </r>
    <r>
      <rPr>
        <sz val="11"/>
        <color theme="1"/>
        <rFont val="Calibri"/>
        <family val="2"/>
        <scheme val="minor"/>
      </rPr>
      <t>Taka</t>
    </r>
  </si>
  <si>
    <r>
      <t xml:space="preserve">Property, plant and equipments </t>
    </r>
    <r>
      <rPr>
        <sz val="11"/>
        <color theme="1"/>
        <rFont val="Calibri"/>
        <family val="2"/>
        <scheme val="minor"/>
      </rPr>
      <t xml:space="preserve">excluding land </t>
    </r>
    <r>
      <rPr>
        <sz val="11"/>
        <color theme="1"/>
        <rFont val="Calibri"/>
        <family val="2"/>
        <scheme val="minor"/>
      </rPr>
      <t xml:space="preserve"> </t>
    </r>
  </si>
  <si>
    <t>Applicable tax rate</t>
  </si>
  <si>
    <t>Deferred tax liability and expense as on 31st March 2012</t>
  </si>
  <si>
    <t>Year ended 30 June 2011</t>
  </si>
  <si>
    <t xml:space="preserve">Property, plant and equipments  </t>
  </si>
  <si>
    <t>Deferred tax liability and expense as on 30 June 2011</t>
  </si>
  <si>
    <t>Novotel Limited</t>
  </si>
  <si>
    <t>Mir Telecom Limited</t>
  </si>
  <si>
    <t>Mango Teleservices Ltd.</t>
  </si>
  <si>
    <t>Bangla Trac Communication Limited</t>
  </si>
  <si>
    <t>Bangladesh Telecommunications Company Limited</t>
  </si>
  <si>
    <t>In addition to above security deposits, Bank guarantees for an amount of Taka 3,65,10,390 has been received from Bangla Trac Communication Limited,Mango Teleservices Ltd and Novotel Limited as security.</t>
  </si>
  <si>
    <t>Employees' pension fund</t>
  </si>
  <si>
    <t>This represents amount payable to BTCL employees working on deputation and the amount incorporated in the vendor agreement. These employees are in the process of returning to their original work place. The above noted amount is adequate to take care of the liabilities on account of the employees currently working for the Company as deputed from BTCL and therefore no additional provision has been made in the accompanying financial statements. The Company however, does not have any pension fund.During the period the company paid Tk.13,49,884 from the fund.</t>
  </si>
  <si>
    <t>Terms and conditions</t>
  </si>
  <si>
    <t>Name of the lender</t>
  </si>
  <si>
    <t>Type</t>
  </si>
  <si>
    <t>Amount</t>
  </si>
  <si>
    <t>Tenor</t>
  </si>
  <si>
    <t>Interest rate</t>
  </si>
  <si>
    <t>IDB</t>
  </si>
  <si>
    <t>Term loan</t>
  </si>
  <si>
    <t>6.5 Years</t>
  </si>
  <si>
    <t>* Interest rate = 6 months LIBOR + 2.4%; applicable 3 months LIBOR is 2.71375%</t>
  </si>
  <si>
    <t>Security: Fully perfected liens over all existing and additional properties acquired by the borrower after the disbursement date and hypothecation of floating assets.</t>
  </si>
  <si>
    <t>Subsequently, the following shareholders have transferred their shares and details are as follows:</t>
  </si>
  <si>
    <t>Name of transferor</t>
  </si>
  <si>
    <t>Name of transferee</t>
  </si>
  <si>
    <t>Value (Taka)</t>
  </si>
  <si>
    <t>Date of transfer</t>
  </si>
  <si>
    <t>Property, plant and equipment - at cost less accumulated depreciation</t>
  </si>
  <si>
    <t>Amount in Taka</t>
  </si>
  <si>
    <t>Name of assets</t>
  </si>
  <si>
    <t>Cost</t>
  </si>
  <si>
    <t>Accumulated depreciation</t>
  </si>
  <si>
    <t>Rate</t>
  </si>
  <si>
    <t>Charged during the period</t>
  </si>
  <si>
    <t>Land</t>
  </si>
  <si>
    <t>Core equipment</t>
  </si>
  <si>
    <t xml:space="preserve">Landing station earth filling </t>
  </si>
  <si>
    <t>Building</t>
  </si>
  <si>
    <t>Floor development</t>
  </si>
  <si>
    <t>Security barak &amp; security wall</t>
  </si>
  <si>
    <t>Deep Tube-Well &amp; Pump House</t>
  </si>
  <si>
    <t>500 KV sub-station</t>
  </si>
  <si>
    <t>Power system</t>
  </si>
  <si>
    <t>Boundary wall</t>
  </si>
  <si>
    <t>Ducting from Beach Manhole</t>
  </si>
  <si>
    <t xml:space="preserve">Vehicles </t>
  </si>
  <si>
    <t>Office equipment and furniture</t>
  </si>
  <si>
    <t>Co-Location point</t>
  </si>
  <si>
    <t>30.6.2011</t>
  </si>
  <si>
    <t>Opening balance</t>
  </si>
  <si>
    <t>Less: Amortization made during the period</t>
  </si>
  <si>
    <t>Mango Teleservices Limited</t>
  </si>
  <si>
    <t>Cash in hand</t>
  </si>
  <si>
    <t>Provision for expenses</t>
  </si>
  <si>
    <t>Office rent (note - 17.1)</t>
  </si>
  <si>
    <t>Bad Debts(note - 17.2)</t>
  </si>
  <si>
    <t>Accrued interest on IDB Loan</t>
  </si>
  <si>
    <t>Audit and others fee including VAT</t>
  </si>
  <si>
    <t>Vehicle fuel expense</t>
  </si>
  <si>
    <t>Govt. employees' beneficiary and joint insurance fund</t>
  </si>
  <si>
    <t>Consultancy Fees</t>
  </si>
  <si>
    <t>IPO Expenses</t>
  </si>
  <si>
    <t>Electricity expense</t>
  </si>
  <si>
    <t>Business development expenses</t>
  </si>
  <si>
    <t>Gratutiy</t>
  </si>
  <si>
    <t>Donation payable</t>
  </si>
  <si>
    <t>Withholding tax payable</t>
  </si>
  <si>
    <t>Provision for office rent payable to Bangladesh Telecommunication Company  Limited (BTCL) has been made for office space occupied by the Company at Telejogajog Bhaban owned by BTCL on the lump sum basis in the absence of any  agreement. This has been arrived as follows:</t>
  </si>
  <si>
    <t>Opening Balance</t>
  </si>
  <si>
    <t>Add: Provision made during the year</t>
  </si>
  <si>
    <t>Closing Balance</t>
  </si>
  <si>
    <t>Provision for bad debt has been made  as follows:</t>
  </si>
  <si>
    <t>Name of Customer</t>
  </si>
  <si>
    <t>Outstanding Amount(tk.)</t>
  </si>
  <si>
    <t>Rate(%)</t>
  </si>
  <si>
    <t>Bad debt Allowance</t>
  </si>
  <si>
    <t>This represents charges imposed to clients for activation of new circuits. During the year this has increased significantly because of charging installation expenses of new circuit starting from the year under review.</t>
  </si>
  <si>
    <t>31.03.2011</t>
  </si>
  <si>
    <t>This represents amount paid to SEA-ME-WE 4 during the period for expenses of cable operation and maintenance purpose after netting reimbursement of expenses, if any, from Consortium incurred by the Company.</t>
  </si>
  <si>
    <t>Salary and allowances</t>
  </si>
  <si>
    <t>Office rent</t>
  </si>
  <si>
    <t>Repair and maintenance</t>
  </si>
  <si>
    <t>Board and other meetings fees</t>
  </si>
  <si>
    <t>Consultancy fees</t>
  </si>
  <si>
    <t>Advertisement and publicity expenses</t>
  </si>
  <si>
    <t>Vehicles running expenses</t>
  </si>
  <si>
    <t>Insurance premium</t>
  </si>
  <si>
    <t>Traveling &amp; conveyance</t>
  </si>
  <si>
    <t>Printing and stationery</t>
  </si>
  <si>
    <t>Postage and courier expenses</t>
  </si>
  <si>
    <t>Entertainment</t>
  </si>
  <si>
    <t>Bank charges and commission</t>
  </si>
  <si>
    <t>Telephone Bill</t>
  </si>
  <si>
    <t>Other income</t>
  </si>
  <si>
    <t>Rest House rent</t>
  </si>
  <si>
    <t>Interest on FDR and others</t>
  </si>
  <si>
    <t>Dividend Income</t>
  </si>
  <si>
    <t>Earnings Per Share</t>
  </si>
  <si>
    <t>Basic earnings per share</t>
  </si>
  <si>
    <t>Profit attributable to the ordinary shareholders - A</t>
  </si>
  <si>
    <t xml:space="preserve">Weighted average number of shares outstanding - B </t>
  </si>
  <si>
    <t>Basic earnings per share - A / B</t>
  </si>
  <si>
    <t>Diluted earning per share</t>
  </si>
  <si>
    <t xml:space="preserve">No diluted earnings per share is required to be calculated for the period as there was no scope for dilution during the period under review. </t>
  </si>
  <si>
    <t>EPS has been calculated on the basis of pre-IPO of Shares.</t>
  </si>
  <si>
    <t>Bandwidth Capacity</t>
  </si>
  <si>
    <t>Gbps</t>
  </si>
  <si>
    <t>Utilization</t>
  </si>
  <si>
    <t>in %</t>
  </si>
  <si>
    <t>Present capacity</t>
  </si>
  <si>
    <t>Capacity utilized (rented)</t>
  </si>
  <si>
    <t>Remittance of foreign currency</t>
  </si>
  <si>
    <t>US$</t>
  </si>
  <si>
    <t>Purpose of payments</t>
  </si>
  <si>
    <t>Financial charge on lease</t>
  </si>
  <si>
    <t>Lease principals</t>
  </si>
  <si>
    <t>Capital equipments</t>
  </si>
  <si>
    <t>Particulars of employees</t>
  </si>
  <si>
    <t>The number of permanent employees during this period part thereof who received a total salary of BDT 36,000 per
 annum and above was 43 (30 June 2011: 40).</t>
  </si>
  <si>
    <t>Contingent liabilities and commitments</t>
  </si>
  <si>
    <t>i) Outstanding letter of credit</t>
  </si>
  <si>
    <t>Nil</t>
  </si>
  <si>
    <t>ii) Capital expenditure commitments</t>
  </si>
  <si>
    <t>iii) Bank Guarantees given to Customs Authority</t>
  </si>
  <si>
    <t>Share Money Deposit</t>
  </si>
  <si>
    <t>During the period the above amount represents share money from IPO application deposited in Sonali Bank Ltd</t>
  </si>
  <si>
    <t xml:space="preserve">STD A/C No:433,the remaing portion of share application money received by the concerned bank after 31st March </t>
  </si>
  <si>
    <t>Business Development Charges</t>
  </si>
  <si>
    <t>Computer Accessories</t>
  </si>
  <si>
    <t>Other exp</t>
  </si>
  <si>
    <t>Electrical Goods pur</t>
  </si>
  <si>
    <t>Electrical works</t>
  </si>
  <si>
    <t>Fees and Subscription</t>
  </si>
  <si>
    <t>Gen/Battery Repair</t>
  </si>
  <si>
    <t>Repair and Maint</t>
  </si>
  <si>
    <t>Rest House Repair</t>
  </si>
  <si>
    <t>Vehicle maint</t>
  </si>
  <si>
    <t>Leave Encashment</t>
  </si>
  <si>
    <t>Profit Bonus</t>
  </si>
  <si>
    <t>Eid Bonus</t>
  </si>
  <si>
    <t>Medical Allowance</t>
  </si>
  <si>
    <t>Overtime Expenses</t>
  </si>
  <si>
    <t>Salary &amp; Allwoances</t>
  </si>
  <si>
    <t>Salary-Guards (Ansar)</t>
  </si>
  <si>
    <t>Total:</t>
  </si>
  <si>
    <t>Bangladesh Submarine Cable Co.Ltd.</t>
  </si>
  <si>
    <t>TIN : 248-200-8046/Circle-86</t>
  </si>
  <si>
    <t>Computation of Total Income</t>
  </si>
  <si>
    <t>TOTAL NET PROFIT OF THE COMPANY BEFORE TAXATION</t>
  </si>
  <si>
    <t>Amount (Tk.)</t>
  </si>
  <si>
    <t>As per Profit &amp; Loss Account for the year</t>
  </si>
  <si>
    <t>Less: Net profit earned from tax holiday units</t>
  </si>
  <si>
    <t>ADJUSTMENTS FOR SUBSEQUENT /SEPARATE CONSIDERATION:</t>
  </si>
  <si>
    <t>Add: Expenses charged to Profit &amp; Loss Account</t>
  </si>
  <si>
    <t>(1)</t>
  </si>
  <si>
    <t>(2)</t>
  </si>
  <si>
    <t>Depreciation</t>
  </si>
  <si>
    <t>(3)</t>
  </si>
  <si>
    <t>Amortization on Preliminery Expenses</t>
  </si>
  <si>
    <t>(4)</t>
  </si>
  <si>
    <t>Provision for Bad Debts</t>
  </si>
  <si>
    <t>(5)</t>
  </si>
  <si>
    <t>Provision for Gratuity</t>
  </si>
  <si>
    <t>(6)</t>
  </si>
  <si>
    <t>Provision for Obsolescence of Inventories</t>
  </si>
  <si>
    <t>(7)</t>
  </si>
  <si>
    <t>Loss on disposal of Fixed Assets</t>
  </si>
  <si>
    <t>ADJUSTMENTS FOR STATUTORY DISALLOWANCES AND ALLOWANCES:</t>
  </si>
  <si>
    <t>Add: Inadmissible expenses incurred-</t>
  </si>
  <si>
    <t>Employees' Excess perquisites u/s 30(e)</t>
  </si>
  <si>
    <t>Non-business subscription</t>
  </si>
  <si>
    <t>Royalty</t>
  </si>
  <si>
    <t>[ actual Royalty expenses is Tk.------------while such amount equivalent to</t>
  </si>
  <si>
    <t xml:space="preserve">8% of net profit of Tk.---------working out to Tk.---------is allowable as per </t>
  </si>
  <si>
    <t xml:space="preserve">section30(h) of Income Tax Ordinance 1984. Since the actual amount of </t>
  </si>
  <si>
    <t>royalty of Tk.--------------is higher than 8% of net profit, the amount of Tk.----</t>
  </si>
  <si>
    <t>(-------- - ------)is added back.]</t>
  </si>
  <si>
    <t>Deduct : Expenses admissible as per I.T.Ordinance 1984</t>
  </si>
  <si>
    <t>Depreciation (as per schedule)</t>
  </si>
  <si>
    <t>Gratuity- actually paid</t>
  </si>
  <si>
    <t>Obsolescence of inventory written off</t>
  </si>
  <si>
    <t>Bad debts written off</t>
  </si>
  <si>
    <t xml:space="preserve">Loss on disposal of fixed assets calculated as per income </t>
  </si>
  <si>
    <t>tax ordinance 1984</t>
  </si>
  <si>
    <t xml:space="preserve">Less: Deduction for separate consideration </t>
  </si>
  <si>
    <t>Dividend from Associate Company/Other Income</t>
  </si>
  <si>
    <t>Deduct: Entertainment expenses,as incurred,fully allowable as per I.T.Rule 65</t>
  </si>
  <si>
    <t>BUSINESS INCOME /(LOSS)</t>
  </si>
  <si>
    <t>Add: Dividend from Associate Company/Investment/Other Income</t>
  </si>
  <si>
    <t>Total Income/(Loss)</t>
  </si>
  <si>
    <t>TAX Rate</t>
  </si>
  <si>
    <t>Jan-March-12</t>
  </si>
  <si>
    <t>Jan-March-13</t>
  </si>
  <si>
    <t>Salary and Allowances:Tk.</t>
  </si>
  <si>
    <t>Repair &amp; Maintenance:TK.</t>
  </si>
  <si>
    <t>July-March-12-13</t>
  </si>
  <si>
    <t>July-March-11-12</t>
  </si>
  <si>
    <t>AGM Expenses</t>
  </si>
  <si>
    <t>AS on 31 March 2013</t>
  </si>
  <si>
    <t>Assessment Year 2012-2013</t>
  </si>
  <si>
    <t>Tax for the period from Jan-March-2013</t>
  </si>
  <si>
    <t>Tax Holiday reserve</t>
  </si>
  <si>
    <t>Telex Ltd.</t>
  </si>
  <si>
    <t>Sub-total:</t>
  </si>
  <si>
    <t>Advances</t>
  </si>
  <si>
    <t>Deposits</t>
  </si>
  <si>
    <t>BTCL - for phone line</t>
  </si>
  <si>
    <t>CDBL - as security deposit</t>
  </si>
  <si>
    <t>Cash at bank</t>
  </si>
  <si>
    <t>31.03.2013</t>
  </si>
  <si>
    <t>Deferred tax liabilities has been recognized in accordance with the provision of BAS 12 based on the taxable temporary difference in carrying amount of assets / liabilities and its tax base. Related deferred tax expense/(income) has been recognized in profit and loss account.</t>
  </si>
  <si>
    <t>Carrying amount on balance sheet date</t>
  </si>
  <si>
    <t>Deferred tax liability as on 30 June 2012</t>
  </si>
  <si>
    <t>Deferred tax liability for the period</t>
  </si>
  <si>
    <t>Less:Opening Deferred Tax</t>
  </si>
  <si>
    <t>Cybergate Ltd.</t>
  </si>
  <si>
    <t>Others</t>
  </si>
  <si>
    <t>This represents amount payable to BTCL employees working on deputation and the amount incorporated in the vendor agreement. These employees are in the process of returning to their original work place. The above noted amount is adequate to take care of the liabilities on account of the employees currently working for the Company as deputed from BTCL and therefore no additional provision has been made in the accompanying financial statements. The Company however, does not have any pension fund.</t>
  </si>
  <si>
    <t>White Product and Electronic Ltd.</t>
  </si>
  <si>
    <t>Share money deposit</t>
  </si>
  <si>
    <t>Greenland Technologies Ltd.</t>
  </si>
  <si>
    <t>M/S Care and Construction</t>
  </si>
  <si>
    <t>ICB Capital Management Ltd.</t>
  </si>
  <si>
    <t>Astha Associates</t>
  </si>
  <si>
    <t>Sub-total</t>
  </si>
  <si>
    <t>Tax Paid</t>
  </si>
  <si>
    <t>Advance tax adjustment</t>
  </si>
  <si>
    <t>Closing tax payable</t>
  </si>
  <si>
    <t>Accrued Finance Charges on Lease</t>
  </si>
  <si>
    <t>Audit &amp; Other fees</t>
  </si>
  <si>
    <t>Provision for office rent payable to Bangladesh Telecommunication Company  Limited (BTCL) has been made for office space occupied by the Company at Telejogajog Bhaban owned by BTCL on the lump sum basis in the absence of any agreement. This has been arrived as follows:</t>
  </si>
  <si>
    <t>Closing balance</t>
  </si>
  <si>
    <t>This represents charges imposed to clients for activation of new circuits. During the period this has been increased significantly because of charging installation expenses of new circuit starting from the year under review.</t>
  </si>
  <si>
    <t>Rest house rent and others</t>
  </si>
  <si>
    <t>Compensation from Consortium on account of foreign traveling</t>
  </si>
  <si>
    <t>Dividend income</t>
  </si>
  <si>
    <t>Net income attributable to ordinary shareholders</t>
  </si>
  <si>
    <t>Weighted average number of shares:</t>
  </si>
  <si>
    <t>Date of  issue</t>
  </si>
  <si>
    <t xml:space="preserve">  No. of shares issued</t>
  </si>
  <si>
    <t>Total          days</t>
  </si>
  <si>
    <t>No. Days</t>
  </si>
  <si>
    <t>Weighted average number of shares of  Tk. 10 each( 3 months)</t>
  </si>
  <si>
    <t xml:space="preserve">Balance as on 1 July </t>
  </si>
  <si>
    <t>Issue of shares:</t>
  </si>
  <si>
    <t>Ordinary share - issued in cash</t>
  </si>
  <si>
    <t>*Ordinary share - bonus share issued</t>
  </si>
  <si>
    <t>17.11.12</t>
  </si>
  <si>
    <t>Earning per share (EPS)</t>
  </si>
  <si>
    <t xml:space="preserve">No diluted earnings per share is required to be calculated for the year as there was no scope for dilution during the year under review. </t>
  </si>
  <si>
    <t xml:space="preserve">* The shareholders in the 4th AGM held on 17th November 2012 approved 10% stock dividend for the year </t>
  </si>
  <si>
    <t>ended on 30 June 2012.</t>
  </si>
  <si>
    <t>Bandwidth capacity</t>
  </si>
  <si>
    <t>iii) Bank guarantees given to customs authority</t>
  </si>
  <si>
    <t>Company Secretary &amp; CFO</t>
  </si>
  <si>
    <t>Repair &amp; Maintenance:TK.31,41,146</t>
  </si>
  <si>
    <t>Advertisement &amp; Publicity</t>
  </si>
  <si>
    <t>Consultancy fee</t>
  </si>
  <si>
    <t>Vehicle maintenance</t>
  </si>
  <si>
    <t>Jan-March-2012</t>
  </si>
  <si>
    <t>Jan-March-2013</t>
  </si>
  <si>
    <t>Weighted average number of shares of  Tk. 10 each( 9 months)</t>
  </si>
  <si>
    <t>The number of permanent employees during this period part thereof who received a total salary of BDT 36,000 per annum and above was 54 (March 2013).</t>
  </si>
  <si>
    <t>Notes to the financial statements</t>
  </si>
  <si>
    <t>Significant accounting policies</t>
  </si>
  <si>
    <t>Foreign currency transactions</t>
  </si>
  <si>
    <t>Tax exemption rate</t>
  </si>
  <si>
    <t>Current tax</t>
  </si>
  <si>
    <t>Deferred tax</t>
  </si>
  <si>
    <t>IPLC rent</t>
  </si>
  <si>
    <t>July March-13</t>
  </si>
  <si>
    <t>Consortium Meeting Expenses</t>
  </si>
  <si>
    <t>Period ended 31 March 2013</t>
  </si>
  <si>
    <t>Period ended 31 March 2012</t>
  </si>
  <si>
    <t>Deferred tax liability as on 31st  March 2012</t>
  </si>
  <si>
    <t>WDV  as on         31 March               2013</t>
  </si>
  <si>
    <t>At                                     1st July               2012</t>
  </si>
  <si>
    <t>Additions during the period</t>
  </si>
  <si>
    <t>At                                   31 March            2013</t>
  </si>
  <si>
    <t>Office Decorattion</t>
  </si>
  <si>
    <t>Previous year balance(30-06-2012)</t>
  </si>
  <si>
    <t>Provision made for the period</t>
  </si>
  <si>
    <t>Earning per share (EPS)-Restated</t>
  </si>
  <si>
    <t>WDV without Land</t>
  </si>
  <si>
    <t>Provision for assessment year-11-12/adjustment</t>
  </si>
  <si>
    <t>Payment for cost and expenses</t>
  </si>
  <si>
    <t>Payment to employees</t>
  </si>
  <si>
    <t xml:space="preserve"> Statement of Cash Flows (workings)</t>
  </si>
  <si>
    <t>For the year ended 30 June 2012</t>
  </si>
  <si>
    <t>Cash received from customers</t>
  </si>
  <si>
    <t>Trade debtors - opening</t>
  </si>
  <si>
    <t>Add: IPLC rent-Export</t>
  </si>
  <si>
    <t>Add: IPLC rent</t>
  </si>
  <si>
    <t>Add: Backhaul charges - relation to payable to BTCL</t>
  </si>
  <si>
    <t>Add: Circuit activation charge</t>
  </si>
  <si>
    <t>Add: Security deposit</t>
  </si>
  <si>
    <t>Add: IPLC and backhaul VAT</t>
  </si>
  <si>
    <t>Less: Trade debtors - closing</t>
  </si>
  <si>
    <t>Adjustment 0f Lease rent with btcl</t>
  </si>
  <si>
    <t>Cash received from other sources</t>
  </si>
  <si>
    <t>Opening  receivable - from other sources</t>
  </si>
  <si>
    <t>Rent of rest house and building</t>
  </si>
  <si>
    <t>Compensation from TM Malaysia</t>
  </si>
  <si>
    <t>Add: income from inv.in share</t>
  </si>
  <si>
    <t>Less non-cash income</t>
  </si>
  <si>
    <t>Less: Closing sundry debtors</t>
  </si>
  <si>
    <t>Direct operational cost</t>
  </si>
  <si>
    <t>Opening payable against direct expenses</t>
  </si>
  <si>
    <t>Add: Direct expenses during the period</t>
  </si>
  <si>
    <t>Less: Closing payable against direct expenses</t>
  </si>
  <si>
    <t>a) Operation and maintenance expenses</t>
  </si>
  <si>
    <t>Opening payable against indirect expenses</t>
  </si>
  <si>
    <t>Indirect expenses during the year</t>
  </si>
  <si>
    <t>Less: Closing payable against indirect expenses</t>
  </si>
  <si>
    <t>Add: Expenses adjusted with miscellaneous income:</t>
  </si>
  <si>
    <t>Operatrionl and maintenance charges</t>
  </si>
  <si>
    <t>Paid during the period(a)</t>
  </si>
  <si>
    <t>b) General and administrative expenses</t>
  </si>
  <si>
    <t>Opening payable against general and administrative expenses</t>
  </si>
  <si>
    <t>Less: Exp. adjust with advance</t>
  </si>
  <si>
    <t>Consortium meeting expenses</t>
  </si>
  <si>
    <t>Paid during the period(b)</t>
  </si>
  <si>
    <r>
      <rPr>
        <sz val="11"/>
        <color theme="1"/>
        <rFont val="Calibri"/>
        <family val="2"/>
        <scheme val="minor"/>
      </rPr>
      <t>(A)</t>
    </r>
    <r>
      <rPr>
        <sz val="11"/>
        <color theme="1"/>
        <rFont val="Calibri"/>
        <family val="2"/>
        <scheme val="minor"/>
      </rPr>
      <t xml:space="preserve"> Grand total (a+b)</t>
    </r>
  </si>
  <si>
    <t>Managing Director's remuneration</t>
  </si>
  <si>
    <t>Paid during the period</t>
  </si>
  <si>
    <t>Payment of  tax</t>
  </si>
  <si>
    <t>Opening tax payable</t>
  </si>
  <si>
    <t>Add: Provision during the year</t>
  </si>
  <si>
    <t>Less: Closing tax payable</t>
  </si>
  <si>
    <t>Less: Advance Tax adjustment</t>
  </si>
  <si>
    <t>Less: Excess provision made adjustment</t>
  </si>
  <si>
    <t>Paid during the year</t>
  </si>
  <si>
    <t>Financial charges on lease</t>
  </si>
  <si>
    <t>Opening accrued interest expenses</t>
  </si>
  <si>
    <t>Add: Expenses made during the year/Exc. Loss</t>
  </si>
  <si>
    <t>Less: Closing accrued interest expenses</t>
  </si>
  <si>
    <t>Purchase of fixed assets</t>
  </si>
  <si>
    <t xml:space="preserve">Closing fixed assets </t>
  </si>
  <si>
    <t xml:space="preserve">Opening fixed assets cost </t>
  </si>
  <si>
    <t>Less: Work in progress</t>
  </si>
  <si>
    <t>Less: Sundry creditors</t>
  </si>
  <si>
    <t xml:space="preserve">(C) Advance,Deposits  &amp; prepayments
 </t>
  </si>
  <si>
    <t>Less: Closing share money deposit</t>
  </si>
  <si>
    <t>Closing advance</t>
  </si>
  <si>
    <t>Less Opening</t>
  </si>
  <si>
    <t>Less: Advance adjustment</t>
  </si>
  <si>
    <t>Payment for lease rental</t>
  </si>
  <si>
    <t>opening Balance</t>
  </si>
  <si>
    <t>Add: Exchange loss</t>
  </si>
  <si>
    <t>Security Deposit Payment</t>
  </si>
  <si>
    <t>Opening Sec. deposit payable</t>
  </si>
  <si>
    <t>Add: Prov.made during the year</t>
  </si>
  <si>
    <t>Less closing Balance</t>
  </si>
  <si>
    <t>Paid to creditors</t>
  </si>
  <si>
    <t>Openting payable</t>
  </si>
  <si>
    <t>Security deposit payable</t>
  </si>
  <si>
    <t>Opening security deposit payable</t>
  </si>
  <si>
    <t xml:space="preserve">Less:Closing balance </t>
  </si>
  <si>
    <t>Less:Adjustment btcl</t>
  </si>
  <si>
    <r>
      <rPr>
        <sz val="11"/>
        <color theme="1"/>
        <rFont val="Calibri"/>
        <family val="2"/>
        <scheme val="minor"/>
      </rPr>
      <t>(E)</t>
    </r>
    <r>
      <rPr>
        <sz val="11"/>
        <color theme="1"/>
        <rFont val="Calibri"/>
        <family val="2"/>
        <scheme val="minor"/>
      </rPr>
      <t xml:space="preserve"> Paid during the period </t>
    </r>
  </si>
  <si>
    <t>Less: Closing security deposit payable</t>
  </si>
  <si>
    <t>VAT paid</t>
  </si>
  <si>
    <t>Opening VAT payable</t>
  </si>
  <si>
    <t>Provision made during the year</t>
  </si>
  <si>
    <t>AIT payable</t>
  </si>
  <si>
    <t>Opening AIT payable</t>
  </si>
  <si>
    <t>Less: Closing VAT payable</t>
  </si>
  <si>
    <t>Provision during the year</t>
  </si>
  <si>
    <r>
      <rPr>
        <sz val="11"/>
        <color theme="1"/>
        <rFont val="Calibri"/>
        <family val="2"/>
        <scheme val="minor"/>
      </rPr>
      <t>(D)</t>
    </r>
    <r>
      <rPr>
        <sz val="11"/>
        <color theme="1"/>
        <rFont val="Calibri"/>
        <family val="2"/>
        <scheme val="minor"/>
      </rPr>
      <t xml:space="preserve"> VAT payment</t>
    </r>
  </si>
  <si>
    <t>Total payment for cost and expenses (A+B+C+D+E)</t>
  </si>
  <si>
    <t>Withholding Tax Paid:</t>
  </si>
  <si>
    <t>Opening</t>
  </si>
  <si>
    <t>Add provision made during the period</t>
  </si>
  <si>
    <t>Less:closing</t>
  </si>
  <si>
    <t>Dividend Paid:</t>
  </si>
  <si>
    <t>Dividend payable for the yr-2011-2012</t>
  </si>
  <si>
    <t>Less: Closing balance on 31.12.2012</t>
  </si>
  <si>
    <t>Capital receipt</t>
  </si>
  <si>
    <t>Closing capital</t>
  </si>
  <si>
    <t>Les: Opening capital</t>
  </si>
  <si>
    <t>Receipt against share premium</t>
  </si>
  <si>
    <t>Opening Share Premium</t>
  </si>
  <si>
    <t>Add: Received during the year</t>
  </si>
  <si>
    <t>Less: Adjustment of IPO expenses</t>
  </si>
  <si>
    <t>(B) Payment for pension</t>
  </si>
  <si>
    <t>Opening pension fund</t>
  </si>
  <si>
    <t>Receipt against share money deposit</t>
  </si>
  <si>
    <t>Less:Closing  pension fund</t>
  </si>
  <si>
    <t>Opening share money deposit</t>
  </si>
  <si>
    <t>Add: Receipt during the year</t>
  </si>
  <si>
    <t>Less: Closing AIT payable</t>
  </si>
  <si>
    <t>Paid to BTCL (for Backhaul)</t>
  </si>
  <si>
    <t>Payable to BTCL</t>
  </si>
  <si>
    <t>VAT Payable</t>
  </si>
  <si>
    <t xml:space="preserve">Withholding Tax </t>
  </si>
  <si>
    <t>Opnening Creditors</t>
  </si>
  <si>
    <t>Closing Advance</t>
  </si>
  <si>
    <t>Purchase of Fixed Assets</t>
  </si>
  <si>
    <t>Opening fixed assets cost less depreciation</t>
  </si>
  <si>
    <t>Less:Closing fixed assets cost less depreciation</t>
  </si>
  <si>
    <t>Less: Depreciation during the period</t>
  </si>
  <si>
    <t>Received of Security Deposit</t>
  </si>
  <si>
    <t>Closing security deposit</t>
  </si>
  <si>
    <t>Less:Opening security deposit</t>
  </si>
  <si>
    <t>IDB Loan Payment:</t>
  </si>
  <si>
    <t>IDB Loan -opening</t>
  </si>
  <si>
    <t>Less IDB Loan-Closing</t>
  </si>
  <si>
    <t>Office rent (note - 19.1)</t>
  </si>
  <si>
    <t>Deferred tax expenses for the period</t>
  </si>
  <si>
    <t>July-2012-March-2013</t>
  </si>
  <si>
    <t>July-2011-March-2012</t>
  </si>
  <si>
    <t xml:space="preserve"> Chief Financial Officer</t>
  </si>
  <si>
    <t>This represents amount paid to SEA-ME-WE 4 during the period for expenses of cable operation and maintenance purpose after netting reimbursement of expenses from Consortium incurred by the Company.</t>
  </si>
  <si>
    <t>Deferred tax liability as on 31March 2013</t>
  </si>
  <si>
    <t>As at 30 June 2013</t>
  </si>
  <si>
    <t>Head Office-Dhaka</t>
  </si>
  <si>
    <t>Landing Station-Cox's Bazar</t>
  </si>
  <si>
    <t>IFIC Bank Limited</t>
  </si>
  <si>
    <t>Net Taxable Temporary Difference</t>
  </si>
  <si>
    <t xml:space="preserve">This represents charges imposed to clients for activation of new circuits. </t>
  </si>
  <si>
    <t>Fuel for generator</t>
  </si>
  <si>
    <t>Gratuity provision</t>
  </si>
  <si>
    <t>Net profit after tax</t>
  </si>
  <si>
    <t>Core equipment-IIG</t>
  </si>
  <si>
    <t>Electricity bill</t>
  </si>
  <si>
    <t>Printing and Office stationery</t>
  </si>
  <si>
    <t>Landing station and cable route repair</t>
  </si>
  <si>
    <t>At  1st July 2012</t>
  </si>
  <si>
    <t>Profit before taxation</t>
  </si>
  <si>
    <t>Written Down Value (A-B)</t>
  </si>
  <si>
    <t>Cost/ revaluation (A)</t>
  </si>
  <si>
    <t>Accumulated Depreciation (B)</t>
  </si>
  <si>
    <t>4.</t>
  </si>
  <si>
    <t>Advance income tax</t>
  </si>
  <si>
    <t>Quantity</t>
  </si>
  <si>
    <t>Cost price (Taka)</t>
  </si>
  <si>
    <t>Market value</t>
  </si>
  <si>
    <t>Ordinary shares of</t>
  </si>
  <si>
    <t>AB Bank Limited</t>
  </si>
  <si>
    <t>ACI Limited</t>
  </si>
  <si>
    <t>BEXIMCO Limited</t>
  </si>
  <si>
    <t>NCC Bank Limited</t>
  </si>
  <si>
    <t>Carrying amount</t>
  </si>
  <si>
    <t xml:space="preserve"> Taka</t>
  </si>
  <si>
    <t xml:space="preserve">Tax base 
</t>
  </si>
  <si>
    <t>Property, plant and equipment (excluding land)</t>
  </si>
  <si>
    <t>Accounts receivable</t>
  </si>
  <si>
    <t>Less:</t>
  </si>
  <si>
    <t>(Amount in Taka)</t>
  </si>
  <si>
    <t>Calculation of Current Tax Provision</t>
  </si>
  <si>
    <t>AGM expenses</t>
  </si>
  <si>
    <t>CSR expenses</t>
  </si>
  <si>
    <t>Events after the reporting period</t>
  </si>
  <si>
    <t>Share 
Money Deposit</t>
  </si>
  <si>
    <t>Trade and other receivables</t>
  </si>
  <si>
    <t>Trade receivables</t>
  </si>
  <si>
    <t>Deferred tax (income)/expense</t>
  </si>
  <si>
    <t>Deferred tax relating to components of other comprehensive income</t>
  </si>
  <si>
    <t>Employees' gratuity fund</t>
  </si>
  <si>
    <t>Audit &amp; other fees</t>
  </si>
  <si>
    <t>Telephone bill</t>
  </si>
  <si>
    <t>Total comprehensive income</t>
  </si>
  <si>
    <t>Deep tube-well &amp; pump house</t>
  </si>
  <si>
    <t>Ducting from beach manhole</t>
  </si>
  <si>
    <t>Adjustment during the year</t>
  </si>
  <si>
    <t>Land and land development</t>
  </si>
  <si>
    <t>Cash paid to suppliers and others</t>
  </si>
  <si>
    <t>Payroll and other payments to employees</t>
  </si>
  <si>
    <t>Income tax paid</t>
  </si>
  <si>
    <t>Interest received</t>
  </si>
  <si>
    <t>Dividend received</t>
  </si>
  <si>
    <t>Receipts from rest house rent and others</t>
  </si>
  <si>
    <t>Other receivables</t>
  </si>
  <si>
    <t>Issued, subscribed and paid up capital:</t>
  </si>
  <si>
    <t xml:space="preserve">Festival bonus </t>
  </si>
  <si>
    <t>Financial assets</t>
  </si>
  <si>
    <t>Employee Benefit</t>
  </si>
  <si>
    <t xml:space="preserve">1. IPLC Rent </t>
  </si>
  <si>
    <t>Dividend income is recognised when the right to receive payment is established.</t>
  </si>
  <si>
    <t>Contingencies</t>
  </si>
  <si>
    <t>A contingent liability is a possible obligation that arises from past events and whose existence will be confirmed only by the occurrence or non-occurrence of one or more uncertain future events not wholly within the control of the company; or a present obligation that arises from past events.</t>
  </si>
  <si>
    <t xml:space="preserve">Investment in shares </t>
  </si>
  <si>
    <t>The principal activities of the Company are to provide high capacity voice and data bandwidth to all important places in Bangladesh to get benefit of all the IT related services.</t>
  </si>
  <si>
    <t>2.1</t>
  </si>
  <si>
    <t>Statement of compliance</t>
  </si>
  <si>
    <t>2.2</t>
  </si>
  <si>
    <t>Basis of measurement</t>
  </si>
  <si>
    <t>(a) Land and land development is measured at fair value.</t>
  </si>
  <si>
    <t>(b) Financial instruments at fair value through profit or loss are measured at fair value.</t>
  </si>
  <si>
    <t>2.3</t>
  </si>
  <si>
    <t>Functional and presentation currency</t>
  </si>
  <si>
    <t>2.4</t>
  </si>
  <si>
    <t>Information about significant areas of estimation uncertainty and critical judgments in applying accounting policies that have the most significant effect on the amount recognised in the financial statements are described in the following notes:</t>
  </si>
  <si>
    <t>Property, plant and equipment (useful life of depreciable assets)</t>
  </si>
  <si>
    <t>Deferred tax liabilities (manner of recovery of temporary differences for determination of deferred tax liabilities)</t>
  </si>
  <si>
    <t>Current tax expense</t>
  </si>
  <si>
    <t>Events after the reporting period that provide additional information about the company's position at the date of statement of financial position or those that indicate the going concern assumption is not appropriate are reflected in the financial statements. Events after the reporting period that are not adjusting events are disclosed in the notes when material.</t>
  </si>
  <si>
    <t>Corporate information</t>
  </si>
  <si>
    <t xml:space="preserve">A deferred tax asset is recognised to the extent that it is probable that future taxable profits will be available against which the deductible temporary difference can be utilised. Deferred tax assets are reviewed at each date of statement of financial position and are reduced to the extent that it is no longer probable that the related tax benefit will be realised. </t>
  </si>
  <si>
    <t>Name of Assets</t>
  </si>
  <si>
    <t>Accounts payable</t>
  </si>
  <si>
    <t>Financial instruments</t>
  </si>
  <si>
    <t>3.4.1</t>
  </si>
  <si>
    <t>The company initially recognises receivables and deposits on the date that they are originated. All other financial assets are recognised initially on the date at which the company becomes a party to the contractual provisions of the transaction.
The company derecognises a financial asset when the contractual rights or probabilities of receiving the cash flows from the asset expire, or it transfers the rights to receive the contractual cash flows on the financial asset in a transaction in which substantially all the risks and rewards of ownership of the financial asset are transferred.
Financial assets include cash and cash equivalents, short term investments, accounts receivable, other receivables and deposits.</t>
  </si>
  <si>
    <t>(a) Accounts receivable</t>
  </si>
  <si>
    <t>(b) Short term investments</t>
  </si>
  <si>
    <t>(c) Other receivables</t>
  </si>
  <si>
    <t>(d) Cash and cash equivalents</t>
  </si>
  <si>
    <t>Accounts receivable represent the amounts due from clients for uses of bandwidth at the date of statement of financial position. Accounts receivables are stated net of provision for doubtful debts.</t>
  </si>
  <si>
    <t>Short term investments comprise investment in Fixed Deposit Receipts (FDR) with original maturity of more than three months. Short term investments assets are recognised initially at cost.</t>
  </si>
  <si>
    <t>Other receivables comprise  receivables and interest receivables. Other receivables are stated net of provision for doubtful debts, if any.</t>
  </si>
  <si>
    <t>Estimates and underlying assumptions are reviewed on an ongoing basis. Revision to accounting estimates is recognised in the year in which the estimate is revised if the revision affects only that year, or in the year of revision and future periods if the revision affects both current and future periods.</t>
  </si>
  <si>
    <t>Cash and cash equivalents comprise cash balances and call deposits with original maturities of less than three months.</t>
  </si>
  <si>
    <t>3.4</t>
  </si>
  <si>
    <t>Cash received from clients</t>
  </si>
  <si>
    <t xml:space="preserve">Advances and deposits </t>
  </si>
  <si>
    <t>Transactions with shareholders:</t>
  </si>
  <si>
    <t>A. Cash flows from operating activities</t>
  </si>
  <si>
    <t>B. Cash flows from investing activities</t>
  </si>
  <si>
    <t>C. Cash flows from financing activities</t>
  </si>
  <si>
    <t xml:space="preserve">Deferred tax liability </t>
  </si>
  <si>
    <t xml:space="preserve">Office rent </t>
  </si>
  <si>
    <t>Gain/(loss) on investment in shares</t>
  </si>
  <si>
    <t>Net operating cash flows per share (NOCFPS)</t>
  </si>
  <si>
    <t>Net cash flows from operating activities (A)</t>
  </si>
  <si>
    <t>Security deposit - BTRC for International Internet Gateway (IIG) license</t>
  </si>
  <si>
    <t>Savings and current deposits with:</t>
  </si>
  <si>
    <t>a. Freehold assets</t>
  </si>
  <si>
    <t>b. Revalued assets</t>
  </si>
  <si>
    <t xml:space="preserve">Sub-total </t>
  </si>
  <si>
    <t>1.</t>
  </si>
  <si>
    <t>2.</t>
  </si>
  <si>
    <t>3.</t>
  </si>
  <si>
    <t>Revenues primarily comprise of:</t>
  </si>
  <si>
    <t>Trade receivables are amounts due from customers for services provided in the ordinary course of business. Trade receivables are recognised initially at fair value and subsequently measured at carrying amount less provision for impairment.</t>
  </si>
  <si>
    <t>Brac Bank Limited</t>
  </si>
  <si>
    <t>United Commercial Bank Limited</t>
  </si>
  <si>
    <t>Basis of preparation of financial statements</t>
  </si>
  <si>
    <t>Use of estimates and judgments</t>
  </si>
  <si>
    <t>The preparation of financial statements requires management to make judgments, estimates and assumptions that affect the application of accounting policies and the reported amounts of assets, liabilities, income and expenses. Actual results may differ from these estimates.</t>
  </si>
  <si>
    <t>Office decoration</t>
  </si>
  <si>
    <t>Net Asset Value (NAV) Per Share</t>
  </si>
  <si>
    <t>23.</t>
  </si>
  <si>
    <t>24.</t>
  </si>
  <si>
    <t>Trade receivables, net of provision</t>
  </si>
  <si>
    <t>Travelling &amp; conveyance</t>
  </si>
  <si>
    <t>Opening market value of investment</t>
  </si>
  <si>
    <t>Closing balance of deferred tax liability</t>
  </si>
  <si>
    <t>Opening balance of deferred tax liability</t>
  </si>
  <si>
    <t>Earnings Per Share (EPS) - Basic</t>
  </si>
  <si>
    <t>IP Transit Service</t>
  </si>
  <si>
    <t>Co-Location Charges</t>
  </si>
  <si>
    <t>Backhaul Charge</t>
  </si>
  <si>
    <t>Data Connectivity &amp; Fiber Core Charge</t>
  </si>
  <si>
    <t>IP Transit Cost</t>
  </si>
  <si>
    <t>Rent, rates &amp; taxes</t>
  </si>
  <si>
    <t>National Bank Limited</t>
  </si>
  <si>
    <t>Patuakhali Palli Bidyut Samity</t>
  </si>
  <si>
    <t>Employees' provident fund</t>
  </si>
  <si>
    <t>Backhaul &amp; Data Connectivity Charge</t>
  </si>
  <si>
    <t>Employees' pension, gratuity and  provident fund</t>
  </si>
  <si>
    <t>Landing Station-Kuakata</t>
  </si>
  <si>
    <t>Fixed deposits (FDR) with:</t>
  </si>
  <si>
    <t>3.7.1</t>
  </si>
  <si>
    <t>3.7.2</t>
  </si>
  <si>
    <t>IP Transit service</t>
  </si>
  <si>
    <t>Co-location Charges</t>
  </si>
  <si>
    <t>Provision for contribution to WPPF &amp; WF</t>
  </si>
  <si>
    <t>Provision for WPPF and WF</t>
  </si>
  <si>
    <t>8.</t>
  </si>
  <si>
    <t>9.</t>
  </si>
  <si>
    <t>10.</t>
  </si>
  <si>
    <t>22.</t>
  </si>
  <si>
    <t xml:space="preserve">IPLC (International Private Leased Circuit) Rent </t>
  </si>
  <si>
    <t>26.</t>
  </si>
  <si>
    <t>Liabilities for expenses</t>
  </si>
  <si>
    <t>(Annexure-A)</t>
  </si>
  <si>
    <t>In the statement of cash flows, cash and cash equivalents include cash in hand, deposits held at call with banks, other short-term highly liquid investments with original maturities of three months or less.</t>
  </si>
  <si>
    <t>Total Liabilities</t>
  </si>
  <si>
    <t xml:space="preserve">Add: </t>
  </si>
  <si>
    <t>Advance Income Tax</t>
  </si>
  <si>
    <t>Investment in Shares</t>
  </si>
  <si>
    <t>Employees against Expenses</t>
  </si>
  <si>
    <t>Milky &amp; Associates</t>
  </si>
  <si>
    <t>Kamal Trading Agency</t>
  </si>
  <si>
    <t>Advance to:</t>
  </si>
  <si>
    <t>This represents the service charges for providing internet bandwidth to IIGs and ISPs.</t>
  </si>
  <si>
    <t>Business Development Expenses</t>
  </si>
  <si>
    <t>Vehicles Maintenance</t>
  </si>
  <si>
    <t>Retained Earnings</t>
  </si>
  <si>
    <t>Mutual Trust Bank Limited</t>
  </si>
  <si>
    <t>Farmers Bank Limited</t>
  </si>
  <si>
    <t>Jamuna Oil Limited</t>
  </si>
  <si>
    <t>Padma Oil Limited</t>
  </si>
  <si>
    <t>Transferred to Tax Holiday Reserve</t>
  </si>
  <si>
    <t xml:space="preserve">Net Operating Cash Flows Per Share (NOCFPS)          </t>
  </si>
  <si>
    <t>Profit before WPPF &amp; WF</t>
  </si>
  <si>
    <t>Employees' pension, gratuity &amp; provident fund</t>
  </si>
  <si>
    <t>Note: 4</t>
  </si>
  <si>
    <t>Circuit Activation Charge-IP Transit</t>
  </si>
  <si>
    <t>This cost represents backhaul charges and for data connectivity &amp; fiber core charge.</t>
  </si>
  <si>
    <t>Legal Fees</t>
  </si>
  <si>
    <t>Books &amp; Periodicals</t>
  </si>
  <si>
    <t>Tax holiday reserve has also been created using applicable exemption rate of income tax as prescribed by the Income Tax Ordinance 1984 for IIG operation income (IP Transit service) as the Company has been granted tax holiday  by the National Board of Revenue (NBR) (Ref: nothi no.08.01.0000.035.01.0021.2013 dated 12/02/2014) for a period of 10 years effective from 01 July 2013 to 30 June 2023 under section 46(c) of ITO 1984 in the following manner:</t>
  </si>
  <si>
    <t>First two years (1 July 2013 to 30 June 2015)</t>
  </si>
  <si>
    <t>Tenth year (1 July 2022 to 30 June 2023)</t>
  </si>
  <si>
    <t>Eighth year (1 July 2020 to 30 June 2021)</t>
  </si>
  <si>
    <t>Seventh year (1 July 2019 to 30 June 2020)</t>
  </si>
  <si>
    <t>Sixth year (1 July 2018 to 30 June 2019)</t>
  </si>
  <si>
    <t>Fifth year (1 July 2017 to 30 June 2018)</t>
  </si>
  <si>
    <t>Fourth year (1 July 2016 to 30 June 2017)</t>
  </si>
  <si>
    <t>Third year (1 July 2015 to 30 June 2016)</t>
  </si>
  <si>
    <t>Calculation of Provision for Bad &amp; Doubtful debts</t>
  </si>
  <si>
    <t>Opening provision for bad &amp; doubtful debts</t>
  </si>
  <si>
    <t>Closing provision for bad &amp; doubtful debts</t>
  </si>
  <si>
    <t>Total receivable</t>
  </si>
  <si>
    <t>Less : Provision for bad &amp; doubtful debts</t>
  </si>
  <si>
    <t>Accounting receivable</t>
  </si>
  <si>
    <t>Term Loan</t>
  </si>
  <si>
    <t>TOTAL ASSETS</t>
  </si>
  <si>
    <t>Current Assets</t>
  </si>
  <si>
    <t>Non Current Liabilities</t>
  </si>
  <si>
    <t>Current Liabilities</t>
  </si>
  <si>
    <t>Civil Works Consultant Limited</t>
  </si>
  <si>
    <t>Security deposit - Duncan Products Limited</t>
  </si>
  <si>
    <t xml:space="preserve">         Employer's Contribution</t>
  </si>
  <si>
    <t>Spectrum Engineering Consortium Limited</t>
  </si>
  <si>
    <t>Huawei Technologies (BD). Limited</t>
  </si>
  <si>
    <t xml:space="preserve">IPLC (International Private Leased Circuit) rent is billed at the beginning of each month and recognized as income on delivery of the bills to clients. </t>
  </si>
  <si>
    <t>Accounts payable are obligations to pay for goods or services that have been acquired in the ordinary course of business from suppliers. Accounts payable are classified as current liabilities if payment is due within one year  (or in the normal operating cycle of the business if longer), If not, they are presented as non-current liabilities.</t>
  </si>
  <si>
    <t>Investment in shares and securities are designated at fair value, classified as Held for Trading, with fair value changes recognized immediately in statement of profit or loss and other comprehensive income.</t>
  </si>
  <si>
    <t>Deferred tax relating to Statement of Profit or Loss and Other Comprehensive Income</t>
  </si>
  <si>
    <t>Provision for pension, gratuity fund and provident fund</t>
  </si>
  <si>
    <t>Add: Employees' Contribution</t>
  </si>
  <si>
    <t>(Loss)/Gain on investment in shares</t>
  </si>
  <si>
    <t>A contingent asset is possible asset that aroses from past events and whose existence will be confirmed only by the occurrence or non occurrence of one or more uncertain future events not wholly within the control of the group.</t>
  </si>
  <si>
    <t>ICB Securities Trading Company Limited</t>
  </si>
  <si>
    <t>Closing Market Value of Investment (A)</t>
  </si>
  <si>
    <t xml:space="preserve">Less: </t>
  </si>
  <si>
    <t>Provision for bad and doubtful debts</t>
  </si>
  <si>
    <t xml:space="preserve">This cost is directly related to cost of operation. </t>
  </si>
  <si>
    <t>These financial statements are presented in Bangladesh Taka which is also the functional currency of the company. The amounts in these financial statements have been rounded off to the nearest Integer.</t>
  </si>
  <si>
    <t>Bangladesh Submarine Cable Company Limited (BSCCL) (hereinafter referred to as "the Company”) was incorporated in Bangladesh as a public limited company on 24 June 2008 under the Companies Act 1994 with an authorized capital of Taka 10,000,000,000 divided into 100,000,000 ordinary shares of Taka 100 each. In the year 2010-2011, the Company converted denomination of its shares from Taka 100 to Taka 10 and accordingly, present authorized capital is Taka 10,000,000,000 divided into 1,000,000,000 ordinary shares of Taka 10 each. The Company obtained the Certificate of Commencement of Business from the Registrar of Joint Stock Companies and Firms on 24 June 2008. The Company is substantially owned by the Government of the Peoples’ Republic of Bangladesh and represented by various Ministries of the Government.</t>
  </si>
  <si>
    <t>Deferred tax relating to profit or loss account components</t>
  </si>
  <si>
    <t>Net cash flow from operating activities</t>
  </si>
  <si>
    <t>Net cash flow from/(used in) financing activities</t>
  </si>
  <si>
    <t>Less: Opening balance of provision for bad &amp; doubtful debts</t>
  </si>
  <si>
    <t>ASSETS</t>
  </si>
  <si>
    <t>TOTAL EQUITY AND LIABILITIES</t>
  </si>
  <si>
    <t>Shareholders' Equity</t>
  </si>
  <si>
    <t xml:space="preserve">Closing balance of provision for bad &amp; doubtful debts       </t>
  </si>
  <si>
    <t>EQUITY AND LIABILITIES</t>
  </si>
  <si>
    <t>BATASHOE</t>
  </si>
  <si>
    <t>Islami Bank BD Limited</t>
  </si>
  <si>
    <t>MPetroleum</t>
  </si>
  <si>
    <t xml:space="preserve">Square Pharma </t>
  </si>
  <si>
    <t>Titas Gas</t>
  </si>
  <si>
    <t>Income tax expenses comprise current and deferred taxes. Income taxes are recognized in the Statement of Profit or Loss and Other Comprehensive Income except to the extent that relates to items recognized directly in equity or in other comprehensive income.</t>
  </si>
  <si>
    <t>Net Asset Value per share</t>
  </si>
  <si>
    <t>BUET</t>
  </si>
  <si>
    <t>Islamic Development Bank (IDB)</t>
  </si>
  <si>
    <t>Revaluation reserve of property, plant and equipment</t>
  </si>
  <si>
    <t>ICB Securities Trading Co. Ltd.</t>
  </si>
  <si>
    <t xml:space="preserve">Dividend </t>
  </si>
  <si>
    <t>Net cash  flow from/ (used in) investing activities</t>
  </si>
  <si>
    <t>Basic Earnings Per Share (EPS)</t>
  </si>
  <si>
    <t>This represents charges to Bharat Sanchar Nigam Limited(BSNL) for IP transit service.</t>
  </si>
  <si>
    <t>Note: 43</t>
  </si>
  <si>
    <t>Milky &amp;  Associates</t>
  </si>
  <si>
    <t>Circuit Activation Charge-ISP</t>
  </si>
  <si>
    <t>Schedule of Property, Plant &amp; Equipment(TAX Schedule)</t>
  </si>
  <si>
    <t>Revenue Sharing Cost</t>
  </si>
  <si>
    <t>Bangladesh Porjoton Corporation</t>
  </si>
  <si>
    <t>Payable to BTRC</t>
  </si>
  <si>
    <t>Sony Chocolate Industries Ltd.</t>
  </si>
  <si>
    <t>This represents amount payable to BTCL employees worked on deputation and the amount incorporated in the vendor agreement. The above noted amount is adequate to take care of the liabilities on account of the employees worked for the Company as deputed from BTCL and therefore no additional provision has been made in the accompanying financial statements. The Company however, does not have any pension fund.</t>
  </si>
  <si>
    <t>Equity Money from GoB</t>
  </si>
  <si>
    <t>Earth Filling</t>
  </si>
  <si>
    <t>VAT payable against Receivable</t>
  </si>
  <si>
    <t>VAT payable against Deduction at source</t>
  </si>
  <si>
    <t>IP Transit Service -Export</t>
  </si>
  <si>
    <t>BSCCL maintains  defined benefit plan for its eligible permanent employees. A defined benefit plan is a post-employment benefit plan other than a defined contribution plan. Employee gratuity plan is considered as defined benefit plan as it meets the recognition criteria. The company's obligation is  to provide the agreed benefits to employees as per condition of the fund. The eligibility is determined according to the terms and conditions set in the service rules of the company. The plan funded is registered under Income Tax Ordinance 1984.</t>
  </si>
  <si>
    <t>IP Transit service-Export</t>
  </si>
  <si>
    <t>This cost is directly related to repair and maintenance for Cox's Bazar landing station and cable route.</t>
  </si>
  <si>
    <t>Net Asset Value</t>
  </si>
  <si>
    <t>Total Assets</t>
  </si>
  <si>
    <t>NAV-Per Share</t>
  </si>
  <si>
    <t>Total cost of investment(B)</t>
  </si>
  <si>
    <t>Gain/(Loss)(A-B)</t>
  </si>
  <si>
    <t>Earnings attributable to the Ordinary Shareholders
 (Net profit after Tax)</t>
  </si>
  <si>
    <t>Standard Bank Limited</t>
  </si>
  <si>
    <t>18.</t>
  </si>
  <si>
    <t>21.</t>
  </si>
  <si>
    <t>Earnings Per Share (EPS)</t>
  </si>
  <si>
    <t>(Note: 17.1)</t>
  </si>
  <si>
    <t>(Note: 9)</t>
  </si>
  <si>
    <t>3.6.1</t>
  </si>
  <si>
    <t>3.6.2</t>
  </si>
  <si>
    <t>3.7.3</t>
  </si>
  <si>
    <t>3.7.4</t>
  </si>
  <si>
    <t>3.7.5</t>
  </si>
  <si>
    <t>(-)Total Liabilities</t>
  </si>
  <si>
    <t>Circuit Activation Charge-Co-location</t>
  </si>
  <si>
    <t>BTCL</t>
  </si>
  <si>
    <t>SEA-ME-WE-4</t>
  </si>
  <si>
    <t>SEA-ME-WE-5</t>
  </si>
  <si>
    <t>This represents amount payable to SEA-ME-WE 4 &amp; 5 during the period for expenses of cable operation and maintenance purpose. The break-up of the expenses is as under:</t>
  </si>
  <si>
    <t>Bangladesh Submarine Cable Company Ltd</t>
  </si>
  <si>
    <t>Rahmans'Regnum Center(7th &amp; 8 th Floor)</t>
  </si>
  <si>
    <t>191/B Tejgaon-Gulshan Link Road,Dhaka-1208</t>
  </si>
  <si>
    <t>Provision for Loss/Gain on Investment in Shares</t>
  </si>
  <si>
    <t xml:space="preserve">SL </t>
  </si>
  <si>
    <t>Market Price</t>
  </si>
  <si>
    <t>Total Market value</t>
  </si>
  <si>
    <t>Capital Law Chamber</t>
  </si>
  <si>
    <t>Depreciation
 rate</t>
  </si>
  <si>
    <t>Basis</t>
  </si>
  <si>
    <t>Straight line</t>
  </si>
  <si>
    <t>Reducing balance</t>
  </si>
  <si>
    <t>30 June 2017</t>
  </si>
  <si>
    <t>31,000,000 Ordinary Shares of Taka 10 each fully paid up in cash</t>
  </si>
  <si>
    <t>140 Ordinary share of Taka 10 each fully paid up in cash to GOB</t>
  </si>
  <si>
    <t>133,905,510(2015:51,599,320) Ordinary shares of Tk. 10 each issued as Bonus Share</t>
  </si>
  <si>
    <t>Southern Automobiles Ltd.</t>
  </si>
  <si>
    <t>BASIC Bank Limited</t>
  </si>
  <si>
    <t>Premier Bank Limited</t>
  </si>
  <si>
    <t>KK Enterprise</t>
  </si>
  <si>
    <t>Donation</t>
  </si>
  <si>
    <t xml:space="preserve">This represents the depreciation charged on core machinery which are directly related to IPLC and IP transit  revenue. </t>
  </si>
  <si>
    <t xml:space="preserve">Less: Adjustment with deferred tax liability </t>
  </si>
  <si>
    <t>3. Circuit Activation Charge</t>
  </si>
  <si>
    <t>4. IP Transit Service</t>
  </si>
  <si>
    <t>5. Co-location Charges</t>
  </si>
  <si>
    <t>6. IP Transit Service-Export</t>
  </si>
  <si>
    <t>2. IPLC -Export</t>
  </si>
  <si>
    <t>Interest on FDR  &amp; Others</t>
  </si>
  <si>
    <t>Term Loan Particulars:</t>
  </si>
  <si>
    <t>Advance for Office Rent (Sony Chocolate Industries Ltd.)</t>
  </si>
  <si>
    <t>Less:Settlement/Adjustment</t>
  </si>
  <si>
    <t>67,314,640 ordinary shares of Tk.10 each fully paid up other than cash to MoPT, GOB</t>
  </si>
  <si>
    <t>This amount represents the revalued amount of Land at Cox's Bazar. This revaluation has been done by a Professional Valuer named A B SAHA &amp; CO., Chartered Accountants in the financial year 2010-11.Valuation work has been carried out on the basis of Guidelines issued by the Ministry of Finance in valuing Assets of  State Owned Companies as well as professsional Judgement.In making Valuation of Assets both Depreciated Replacement Costs and Revaluation Method as suggested in the aforementioned guidelines were followed. In addition requirements of IAS and IFRS was considered.Valuation was made on the basis of 100% inventory, Present condition of assets, Current Market price, inflationary trend of the country, Estimated life time of assets etc.</t>
  </si>
  <si>
    <t xml:space="preserve">Provision made for the year according to the  company policy and as recommended by Audit Committee </t>
  </si>
  <si>
    <t>Number of Ordinary Shares of Tk. 10 each at Financial Position date</t>
  </si>
  <si>
    <r>
      <t xml:space="preserve">This represents the depreciation charged on other than core machinery. During the year 2016-17 , considering the estimated useful life of the Assets, Management has changed  depreciation method  on Power System, Ducting from Beach Manhole, 500 KV Sub Station and Power System  to Straight Line method to reflect fair presentation of the financial results and financial position . Due to change of Depreciation method  from Reducing Balance Method to Straight Line method  an excess amount of 5,51,409 has been charged   as depreciation comparing to the amount to be charged under Reducing Balance Method during the year.For further details </t>
    </r>
    <r>
      <rPr>
        <sz val="11"/>
        <color theme="1"/>
        <rFont val="Calibri"/>
        <family val="2"/>
        <scheme val="minor"/>
      </rPr>
      <t>Annexure-A</t>
    </r>
    <r>
      <rPr>
        <sz val="11"/>
        <color theme="1"/>
        <rFont val="Calibri"/>
        <family val="2"/>
        <scheme val="minor"/>
      </rPr>
      <t xml:space="preserve"> is referred.</t>
    </r>
  </si>
  <si>
    <t>Core equipment-IPLC-SMW-4</t>
  </si>
  <si>
    <t>Core equipment-IPLC-SMW-5</t>
  </si>
  <si>
    <t>Core equipment-SMW-4</t>
  </si>
  <si>
    <t>Core equipment-SMW-5</t>
  </si>
  <si>
    <t>Lease Rent</t>
  </si>
  <si>
    <t>This rent represents rent of leasing land of beachmanhole  for Kuakata landing station from Parjaton Corporation.</t>
  </si>
  <si>
    <t>Inauguration-SMW-5 expenses</t>
  </si>
  <si>
    <t>Co-location cost</t>
  </si>
  <si>
    <t>M.M.International</t>
  </si>
  <si>
    <t>Equinix Singapore PTE Ltd.</t>
  </si>
  <si>
    <t>Building -SMW-5</t>
  </si>
  <si>
    <t>Deep tube-well &amp; pump house-SMW-5</t>
  </si>
  <si>
    <t>500 KV sub-station-SMW-5</t>
  </si>
  <si>
    <t>Power system-SMW5</t>
  </si>
  <si>
    <t>Boundary wall-SMW-5</t>
  </si>
  <si>
    <t>Ducting from beach manhole-SMW-5</t>
  </si>
  <si>
    <t>Co-Location point-SMW-5</t>
  </si>
  <si>
    <t>Building-SMW-5</t>
  </si>
  <si>
    <t>Power system-SMW-5</t>
  </si>
  <si>
    <t>Generator-500 KVA(SMW#5)</t>
  </si>
  <si>
    <t>Non-operating income/(Expenses)</t>
  </si>
  <si>
    <t>Financial charges</t>
  </si>
  <si>
    <t>Current tax has been charged on gross receipts applying regular rate.</t>
  </si>
  <si>
    <t>Amount(tk.)</t>
  </si>
  <si>
    <t>Tax payable</t>
  </si>
  <si>
    <t>IPLC (International Private Leased Circuit) rent</t>
  </si>
  <si>
    <t>Total receipts of IPLC Department</t>
  </si>
  <si>
    <t>SMW-4</t>
  </si>
  <si>
    <t>SMW-5</t>
  </si>
  <si>
    <t>Circuit Activation Charge-IPLC-SMW-4</t>
  </si>
  <si>
    <t>Circuit Activation Charge-IPLC-SMW-5</t>
  </si>
  <si>
    <r>
      <t xml:space="preserve">Depreciation has been charged considering 20 years estimated life of fixed assets relating to SMW-5 for the period. During the year 2016-17 , considering the estimated useful life of the Assets, Management has changed  depreciation method  on Core Equipments of IPLC and IIG unit  from Reducing Balance Method to Straight Line method to reflect fair presentation of the financial results and financial position . For further details </t>
    </r>
    <r>
      <rPr>
        <sz val="11"/>
        <color theme="1"/>
        <rFont val="Calibri"/>
        <family val="2"/>
        <scheme val="minor"/>
      </rPr>
      <t>Annexure-A</t>
    </r>
    <r>
      <rPr>
        <sz val="11"/>
        <color theme="1"/>
        <rFont val="Calibri"/>
        <family val="2"/>
        <scheme val="minor"/>
      </rPr>
      <t xml:space="preserve"> is referred.</t>
    </r>
  </si>
  <si>
    <t>Deep tube-well &amp; pump house-SMW-4</t>
  </si>
  <si>
    <t>500 KV sub-station-SMW-4</t>
  </si>
  <si>
    <t>Power system-SMW4</t>
  </si>
  <si>
    <t>Boundary wall-SMW-4</t>
  </si>
  <si>
    <t>Ducting from beach manhole-SMW-4</t>
  </si>
  <si>
    <t>Co-Location point-SMW-4</t>
  </si>
  <si>
    <t>Circuit Activation Charge-ITC</t>
  </si>
  <si>
    <t>Recruitment expenses</t>
  </si>
  <si>
    <t>Audit Fees</t>
  </si>
  <si>
    <t>Bank Asia Ltd.</t>
  </si>
  <si>
    <t>One Bank Limited</t>
  </si>
  <si>
    <t>Southeast Bank Ltd.</t>
  </si>
  <si>
    <t>Habib Intelligent Software Ltd.</t>
  </si>
  <si>
    <t>Mustafa Tariq Hossain &amp; Associates</t>
  </si>
  <si>
    <t>Cogent Communication Ltd</t>
  </si>
  <si>
    <t>No diluted earnings per share is required to be calculated for the period as there has no dilutive potential ordinary shares.</t>
  </si>
  <si>
    <t>NTT communications Ltd.</t>
  </si>
  <si>
    <t>Telecom Italia Sparkle Ltd.</t>
  </si>
  <si>
    <t>This cost represents the cost of purchasing IP bandwidth from Telecom Italia Sparkle,NTT Coomunications Ltd,Equinix Singapore Pte Ltd.Cogent Communications ltd.</t>
  </si>
  <si>
    <t>Accrued Interest on IDB loan</t>
  </si>
  <si>
    <t>This represents charges to customers for using BSCCL's resources at Cox's Bazar, Kuakata and Dhaka.</t>
  </si>
  <si>
    <t>Reception and Dinner</t>
  </si>
  <si>
    <t>Purchase during the period</t>
  </si>
  <si>
    <t>Security Deposit-Sikder Filing Station</t>
  </si>
  <si>
    <t>Jamuna Bank Limited</t>
  </si>
  <si>
    <t>Pubali Bank Limited</t>
  </si>
  <si>
    <t>Sikder Filling &amp; Service Station</t>
  </si>
  <si>
    <t>Provision for different expenses</t>
  </si>
  <si>
    <t>Total IDB Loan</t>
  </si>
  <si>
    <t>Building-SMW-4</t>
  </si>
  <si>
    <t>Current tax expenses</t>
  </si>
  <si>
    <t>Deferred tax (income)/expenses</t>
  </si>
  <si>
    <t>Income tax expenses</t>
  </si>
  <si>
    <t>2016-2017</t>
  </si>
  <si>
    <t>National Integrity and Strategy / Training Expenses</t>
  </si>
  <si>
    <t>Long Term loan-net off current portion</t>
  </si>
  <si>
    <t>Long Term loan-current portion</t>
  </si>
  <si>
    <t>Current portion of Long Term Loan</t>
  </si>
  <si>
    <t>Insurance Premium</t>
  </si>
  <si>
    <t>As at 30 June 2018</t>
  </si>
  <si>
    <t>30 June 2018</t>
  </si>
  <si>
    <t>Add: Investment during the year</t>
  </si>
  <si>
    <t>Weighted average number of ordinary Shares outstanding during the year</t>
  </si>
  <si>
    <t>Financial risk management</t>
  </si>
  <si>
    <t>The management of the company has overall responsibility for the establishment and oversight of the company's risk management framework. The company's risk management policies have been established to identify and analyse the risks faced by the company, to set appropriate risk limits and controls, and to monitor risks and adherence to limits. Risk management policies, procedures and systems are reviewed regularly to reflect changes in market conditions and the company's activities. The company has exposure to the following risks from its use of financial instruments.</t>
  </si>
  <si>
    <t>* Credit risk</t>
  </si>
  <si>
    <t>* Liquidity risk</t>
  </si>
  <si>
    <t>* Market risk</t>
  </si>
  <si>
    <t>Credit risk</t>
  </si>
  <si>
    <t>Credit risk is the risk of a financial loss to the company if a client or counterparty to a financial instrument fails to meet its contractual obligations, and arises principally from the company's receivables.</t>
  </si>
  <si>
    <t>As per terms and conditions of agreement with the clients, sale of Bandwidth is on prepaid basis. But for some unavoidable reasons a portion of sale remains outstanding and to make it acceptable management has made a credit recovery committee and the exposure to credit risk is monitored on an ongoing basis. As at 30 June 2017, substantial part of the receivables are those from BTCL and Mango Teleservices Limited and other clients and are subject to significant credit risk. Risk exposures from other financial assets, i.e. cash at bank and other external receivables are also nominal.</t>
  </si>
  <si>
    <t>(a) Exposure to credit risk</t>
  </si>
  <si>
    <t>The carrying amount of financial assets represents the maximum credit exposure. The maximum exposure to credit risk at the reporting date was:</t>
  </si>
  <si>
    <t>30.06.2017</t>
  </si>
  <si>
    <t xml:space="preserve">Trade receivables, net </t>
  </si>
  <si>
    <t>(Note: 6.1)</t>
  </si>
  <si>
    <t xml:space="preserve">Other receivables </t>
  </si>
  <si>
    <t>(Note: 6.2)</t>
  </si>
  <si>
    <t xml:space="preserve">Financial assets (HFT) - investment in shares </t>
  </si>
  <si>
    <t xml:space="preserve">Cash and cash equivalents </t>
  </si>
  <si>
    <t>(Note: 10)</t>
  </si>
  <si>
    <t>30.06.2018</t>
  </si>
  <si>
    <t>Circuit Activation Charge-Co-location-SMW-5</t>
  </si>
  <si>
    <t>IPLC Dept.</t>
  </si>
  <si>
    <t>IP Transit dept.</t>
  </si>
  <si>
    <t>Circuit Activation Charge-IPLC</t>
  </si>
  <si>
    <t>Total Urealised Gain/(Loss) for the period</t>
  </si>
  <si>
    <t>July-2017-March-2018</t>
  </si>
  <si>
    <t>1st Clean Pest Specialist</t>
  </si>
  <si>
    <t>ICAB Puja Udjapan Parishad</t>
  </si>
  <si>
    <t>M.J.Abedin &amp; Co.</t>
  </si>
  <si>
    <t>Peshajibi Samonnoy Parishad</t>
  </si>
  <si>
    <t>SA Rashid &amp; Associates</t>
  </si>
  <si>
    <t>M/S Gazi Store</t>
  </si>
  <si>
    <t>Payable to BTCL Staff College(Focus Point)</t>
  </si>
  <si>
    <t>Fames &amp; R</t>
  </si>
  <si>
    <t>Telnet Communication Ltd.</t>
  </si>
  <si>
    <t>The Daily Janakantha</t>
  </si>
  <si>
    <t>The Daily Observer</t>
  </si>
  <si>
    <t>ECCE,CUET</t>
  </si>
  <si>
    <t>Summit Communications Ltd.</t>
  </si>
  <si>
    <t>Next Tech Ltd.</t>
  </si>
  <si>
    <t>OTOBI Ltd.</t>
  </si>
  <si>
    <t>The Financial Express</t>
  </si>
  <si>
    <t>Calculation of  Depreciation on Fixed Assets</t>
  </si>
  <si>
    <t>Office Equipment</t>
  </si>
  <si>
    <t>Closing Date</t>
  </si>
  <si>
    <t>Purchase Date</t>
  </si>
  <si>
    <t>Cost (Tk.)</t>
  </si>
  <si>
    <t>Days</t>
  </si>
  <si>
    <t>Depreciation( Tk.)</t>
  </si>
  <si>
    <t>Sub Total</t>
  </si>
  <si>
    <t xml:space="preserve">Furniture &amp; Fixtures </t>
  </si>
  <si>
    <t>Office Decoration</t>
  </si>
  <si>
    <t>The above amount has been received from   Government for implementing the Regional Submarine Telecommunications Project, Bangladesh  ( Installation and Establishment of Second Submarine Cable System (SMW5) for International Telecommunications in Bangladesh.) as Equity Money which will be  converted into shares after implementing the project and getting proper approval from Concerned Authority.</t>
  </si>
  <si>
    <t>BSNL</t>
  </si>
  <si>
    <t>Compliance with Financial Reporting Standards as applicable in Bangladesh</t>
  </si>
  <si>
    <t>Sl. No.</t>
  </si>
  <si>
    <t>Compliance Status</t>
  </si>
  <si>
    <t>Presentation of Financial Statements</t>
  </si>
  <si>
    <t>Complied</t>
  </si>
  <si>
    <t>Inventories</t>
  </si>
  <si>
    <t>Not applicable</t>
  </si>
  <si>
    <t xml:space="preserve">Statement of Cash Flows </t>
  </si>
  <si>
    <t>Accounting Policies, Changes in Accounting Estimates and Errors</t>
  </si>
  <si>
    <t>Events after the Reporting Period</t>
  </si>
  <si>
    <t>Construction Contracts</t>
  </si>
  <si>
    <t>Income Taxes</t>
  </si>
  <si>
    <t>Property, Plant &amp; Equipment</t>
  </si>
  <si>
    <t>Leases</t>
  </si>
  <si>
    <t>Employee Benefits</t>
  </si>
  <si>
    <t>Accounting for Government Grants and Disclosure of Government Assistance</t>
  </si>
  <si>
    <t>The Effects of Changes in Foreign Exchange Rates</t>
  </si>
  <si>
    <t>Borrowing Costs</t>
  </si>
  <si>
    <t>Related Party Disclosures</t>
  </si>
  <si>
    <t>Accounting and Reporting by Retirement Benefit Plans</t>
  </si>
  <si>
    <t>Interest in Joint Ventures</t>
  </si>
  <si>
    <t>Financial Instruments: Presentation</t>
  </si>
  <si>
    <t>Earnings per Share</t>
  </si>
  <si>
    <t>Interim Financial Reporting</t>
  </si>
  <si>
    <t>Impairment of Assets</t>
  </si>
  <si>
    <t>Provisions, Contingent Liabilities and Contingent Assets</t>
  </si>
  <si>
    <t>Intangible Assets</t>
  </si>
  <si>
    <t>Financial Instruments: Recognition and Measurement</t>
  </si>
  <si>
    <t>Investment Property</t>
  </si>
  <si>
    <t>Agriculture</t>
  </si>
  <si>
    <t>First-time adoption of International Financial Reporting Standards</t>
  </si>
  <si>
    <t>Share-based Payment</t>
  </si>
  <si>
    <t>Business Combinations</t>
  </si>
  <si>
    <t>Insurance Contracts</t>
  </si>
  <si>
    <t>Non-current Assets Held for Sale and Discontinued Operations</t>
  </si>
  <si>
    <t>Exploration for and Evaluation of Mineral Resources</t>
  </si>
  <si>
    <t>Financial Instruments: Disclosures</t>
  </si>
  <si>
    <t>Operating Segments</t>
  </si>
  <si>
    <t>Financial Instruments</t>
  </si>
  <si>
    <t>Consolidated Financial Statements</t>
  </si>
  <si>
    <t>Joint Arrangements</t>
  </si>
  <si>
    <t>Disclosure of Interests in other Entities</t>
  </si>
  <si>
    <t>Fair Value Measurement</t>
  </si>
  <si>
    <t>Loan has been taken from IDB through Bangladesh Government  for implementation of Regional Submarine Telecommuications Project, Bangladesh (SMW-5) Project. An agreement named Installment Sale Agreement between The Government of People's Republic of Bangladesh and IDB has been signed on 27 August 2014 with effect from  24 November 2014 for loan amount of USD 44 million.Actual loan received by BSCCL in USD 38.048 million. Subsequently Bangladesh Submarine Cable Company Limited signed a subsidiary loan agreement with The Government of People's Republic of Bangladesh,Ministry of Finance, Finance Division on 15 February 2015. This sub-loan is  for a 13 years term with a gestation period of 3 years and the interest payable will be @ 6% per annum.</t>
  </si>
  <si>
    <t>Accounting policies set out below have been applied consistently for all periods for which the financial statements have been presented herein. Certain comparative amounts are reclassified to coform to the current year presentation.</t>
  </si>
  <si>
    <t>The Company was originated after separating from Bangladesh Telecommunications Company Limited (BTCL) (previously BTTB) with all assets situated at Zilonjha, Cox’s-Bazar, the Landing Station. Before separation a project namely “Establishment of International Telecommunication System through Submarine Cable” was undertaken by BTCL participating in an international agreement with an International Consortium namely SEA-ME-WE 4 (South East Asia Middle East Western Europe). The Company has established 2nd Submarine Cable system at Kuakata, Patuakhali,Bangladesh (SEA-ME-WE-5-South East Asia Middle East Western Europe).</t>
  </si>
  <si>
    <t>Bangladesh Association of Publicly Listed Companies</t>
  </si>
  <si>
    <t>FDR Interest &amp; Others</t>
  </si>
  <si>
    <t>Separate Financial Statements</t>
  </si>
  <si>
    <t>Investments in Associates and Joint Ventures</t>
  </si>
  <si>
    <t>Financial Reporting in Hyperinflationary Economics</t>
  </si>
  <si>
    <t>Regulatory Deferral Accounts</t>
  </si>
  <si>
    <t>Revenue from Contracts with Customers</t>
  </si>
  <si>
    <t>Temporary Loan from Project Director # SMW5</t>
  </si>
  <si>
    <t>The company presents basic  earnings per share (EPS) for its ordinary shares. Basic EPS is calculated by dividing the profit or loss attributable to ordinary shareholders of the company by the weighted average number of ordinary shares outstanding during the year. Diluted EPS is not applicable for these financial statements as there was no dilutive potential ordinary shares during this year.</t>
  </si>
  <si>
    <t>Not complied</t>
  </si>
  <si>
    <t>Balance as at 01 July 2018</t>
  </si>
  <si>
    <t>As at 01 July 2018</t>
  </si>
  <si>
    <t>Interest Provision</t>
  </si>
  <si>
    <t>Interest to be accounted for up to 18-2-18</t>
  </si>
  <si>
    <t>Add: Amount to be provisioned for 102 days</t>
  </si>
  <si>
    <t>Total Amount to be provisioned</t>
  </si>
  <si>
    <t>To be for half yearly</t>
  </si>
  <si>
    <t>Less: Al ready made</t>
  </si>
  <si>
    <t>To be for the quarter</t>
  </si>
  <si>
    <t>We made</t>
  </si>
  <si>
    <t>Additional for this quqrter</t>
  </si>
  <si>
    <t>Less: Included in previous year accounts</t>
  </si>
  <si>
    <t>interest from 16/3/2018-15/9/2018</t>
  </si>
  <si>
    <t>Interest on IDB laon</t>
  </si>
  <si>
    <t>2018-2019</t>
  </si>
  <si>
    <t>Sonali Bank Limited-Dhaka</t>
  </si>
  <si>
    <t>Cyber Link</t>
  </si>
  <si>
    <t>Bangladesh Parjatan Corporation</t>
  </si>
  <si>
    <t>Grand total:(A+B)</t>
  </si>
  <si>
    <t>B:</t>
  </si>
  <si>
    <t>A:</t>
  </si>
  <si>
    <t>Market price on 01.10.2018</t>
  </si>
  <si>
    <t>Less:Current Market Price As at 31.12.2018</t>
  </si>
  <si>
    <t>Investment in share                                   Dr.</t>
  </si>
  <si>
    <t xml:space="preserve">         Provision for loss on investment in share</t>
  </si>
  <si>
    <t>(For unrealised gain on investment in share)</t>
  </si>
  <si>
    <t>New S.N. Motors</t>
  </si>
  <si>
    <t xml:space="preserve">Partex Furniture </t>
  </si>
  <si>
    <t>BD ren</t>
  </si>
  <si>
    <t>Other Receipts</t>
  </si>
  <si>
    <t>IAS Title</t>
  </si>
  <si>
    <t>IFRS Title</t>
  </si>
  <si>
    <t>Add: interest for 15 Sep- 2018 to 15 March 2019</t>
  </si>
  <si>
    <t>Circuit Activation Charge-Co-location-SMW-4</t>
  </si>
  <si>
    <t>Circuit Activation Charge-Co-location-IIG</t>
  </si>
  <si>
    <t>Express Systems Ltd.</t>
  </si>
  <si>
    <t>Legacy Legal Corporate</t>
  </si>
  <si>
    <t>Dynamic Travels</t>
  </si>
  <si>
    <t>as per audit manager cal.</t>
  </si>
  <si>
    <r>
      <t xml:space="preserve">Reffering to the note number 26 to 30, Bangladesh Submarine Cable Company Limited (BSCCL)’s turnover is mainly comprised of IPLC Rent, IP Transit Service and Co-location Service. BSCCL has implemented </t>
    </r>
    <r>
      <rPr>
        <sz val="11"/>
        <color theme="1"/>
        <rFont val="Calibri"/>
        <family val="2"/>
        <scheme val="minor"/>
      </rPr>
      <t>Regional Submarine Telecommunications Project, Bangladesh (SMW-5) Project</t>
    </r>
    <r>
      <rPr>
        <sz val="11"/>
        <color theme="1"/>
        <rFont val="Calibri"/>
        <family val="2"/>
        <scheme val="minor"/>
      </rPr>
      <t xml:space="preserve"> and started providing service commercially through the system during the period under consideration. In addition to that, substantial effort of BSCCL’s management, Govt. policy of digitalization of govt. service and introduction of 4G services contributed to increase in overall IPLC consumption in the country. Consequently, BSCCL’s revenue also increased. </t>
    </r>
  </si>
  <si>
    <t>Advance to Employee against Salary</t>
  </si>
  <si>
    <t>Prime Bank Limited</t>
  </si>
  <si>
    <t>Payable after one year</t>
  </si>
  <si>
    <t>30 June 2019</t>
  </si>
  <si>
    <t>As at 30 June 2019</t>
  </si>
  <si>
    <t>For the year ended 30 June 2019</t>
  </si>
  <si>
    <t>2017-2018</t>
  </si>
  <si>
    <t>WDV as at June-2019</t>
  </si>
  <si>
    <t>As on 30 June 2019</t>
  </si>
  <si>
    <t>Total Provision as on 30 June 2019</t>
  </si>
  <si>
    <t>Total Provision for July-June-2019</t>
  </si>
  <si>
    <t>Provision made July-March-2019</t>
  </si>
  <si>
    <t>Provision made April-June-2019</t>
  </si>
  <si>
    <t>30.06.2019</t>
  </si>
  <si>
    <t>July- June-2019</t>
  </si>
  <si>
    <t>For the period ended 30 June 2019</t>
  </si>
  <si>
    <t>Total tax to be made provision for the period July to June 2019</t>
  </si>
  <si>
    <t>Less: Tax made provision for the period July-March-2019</t>
  </si>
  <si>
    <t>Tax to be made provision for the period April- June-2019</t>
  </si>
  <si>
    <t>Less: Taxholiday reserve made for the period July to March-2019</t>
  </si>
  <si>
    <t>Tax holiday reserve for the period April-June-2019</t>
  </si>
  <si>
    <t>For the period from July 18 to June 19</t>
  </si>
  <si>
    <t>July-June-2019</t>
  </si>
  <si>
    <t xml:space="preserve">Past due 0-90 days </t>
  </si>
  <si>
    <t xml:space="preserve">Past due 91-180 days </t>
  </si>
  <si>
    <t xml:space="preserve">Past due 181 -365 days </t>
  </si>
  <si>
    <t xml:space="preserve">Past due more than 365 days </t>
  </si>
  <si>
    <t>The financial statements have been authorised for issue by the Board of Directors of the Company on ---------------2019.</t>
  </si>
  <si>
    <t>Provision for income tax is made as per Finance Act 2019. Current tax is the expected tax payable on the taxable income for the period, using tax rates enacted or substantively enacted at the reporting date, and any adjustment to tax payable in respect of previous periods. The Company has been granted 50% tax exemption for  IIG operation income (IP Transit service). Required provision for income tax has been made in the accompanying financial statements based on proportionate income.</t>
  </si>
  <si>
    <t>Purchased/Recognised during the year</t>
  </si>
  <si>
    <t>Less: Adjustment during the year</t>
  </si>
  <si>
    <t>Add: Addition during the year</t>
  </si>
  <si>
    <t>Less: Collection during the year</t>
  </si>
  <si>
    <t>Add: Paid during the year</t>
  </si>
  <si>
    <t>Add: Payment made during the year</t>
  </si>
  <si>
    <t>Profit for the year</t>
  </si>
  <si>
    <t>Less: Paid/Transferred during the year</t>
  </si>
  <si>
    <t>Less: Transferred to RCPF during the year</t>
  </si>
  <si>
    <t>Received during the year</t>
  </si>
  <si>
    <t>Settlement for previous year:</t>
  </si>
  <si>
    <t>Less: Settlement for previous year</t>
  </si>
  <si>
    <t>Power system-IIG</t>
  </si>
  <si>
    <t>Water Treatment Plant &amp; Others</t>
  </si>
  <si>
    <t>Power system(IIG Equipment)</t>
  </si>
  <si>
    <t>Less: Interest provision made July-March-2019</t>
  </si>
  <si>
    <t>Provision to be made for the period April-June-2019</t>
  </si>
  <si>
    <t>IIG</t>
  </si>
  <si>
    <t>Add: Charged during the year</t>
  </si>
  <si>
    <t>Co-Location Charges-IIG</t>
  </si>
  <si>
    <t>? 3889</t>
  </si>
  <si>
    <t xml:space="preserve">Add: Current year's reserve </t>
  </si>
  <si>
    <t>Zico Motors</t>
  </si>
  <si>
    <t>The Daily Bangladesh Pratidin</t>
  </si>
  <si>
    <t>S.F.Ahmed &amp; Co.</t>
  </si>
  <si>
    <t>Royal Office Equipment</t>
  </si>
  <si>
    <t>Modern Erection Ltd.</t>
  </si>
  <si>
    <t>Jatir Alo</t>
  </si>
  <si>
    <t>Expo Media &amp; Publications Ltd.</t>
  </si>
  <si>
    <t>Asia Pacific Communication Ltd.</t>
  </si>
  <si>
    <t>17th BCS Forum</t>
  </si>
  <si>
    <t>Zetta Power</t>
  </si>
  <si>
    <t>Anika Enterprise</t>
  </si>
  <si>
    <t>Manik Traders</t>
  </si>
  <si>
    <t>S.T. Enterprise</t>
  </si>
  <si>
    <t>6.1</t>
  </si>
  <si>
    <t>7.</t>
  </si>
  <si>
    <t>9.1</t>
  </si>
  <si>
    <t>9.2</t>
  </si>
  <si>
    <t>17.</t>
  </si>
  <si>
    <t>20.</t>
  </si>
  <si>
    <t xml:space="preserve">      </t>
  </si>
  <si>
    <t>Purchase of property, plant and equipment</t>
  </si>
  <si>
    <t>10.1</t>
  </si>
  <si>
    <t>Percentage of Shareholding</t>
  </si>
  <si>
    <t>Shareholding position  as at 30 June 2019</t>
  </si>
  <si>
    <t>Name of shareholders</t>
  </si>
  <si>
    <t>Percentage of shareholding</t>
  </si>
  <si>
    <t>Posts &amp; Telecommunications division, MoPT &amp; IT</t>
  </si>
  <si>
    <t>Sponsor/Director</t>
  </si>
  <si>
    <t>Institute</t>
  </si>
  <si>
    <t>Public</t>
  </si>
  <si>
    <t>Foreign Investor</t>
  </si>
  <si>
    <t>Shareholding position  as at 30 June 2018</t>
  </si>
  <si>
    <t>10.2</t>
  </si>
  <si>
    <t>Classification of shareholders by range of number of shares held:</t>
  </si>
  <si>
    <t>Slabs wise number of shares</t>
  </si>
  <si>
    <t>No. of  share holders</t>
  </si>
  <si>
    <t xml:space="preserve"> Less than 500</t>
  </si>
  <si>
    <t xml:space="preserve"> 500-5,000</t>
  </si>
  <si>
    <t>5,001-10,000</t>
  </si>
  <si>
    <t>10,001-20,000</t>
  </si>
  <si>
    <t>20,001-30,000</t>
  </si>
  <si>
    <t>30,001-40,000</t>
  </si>
  <si>
    <t>40,001-50,000</t>
  </si>
  <si>
    <t>50,001-100,000</t>
  </si>
  <si>
    <t>100,001-1,000,000</t>
  </si>
  <si>
    <t>1,000,001-1,000,000,000</t>
  </si>
  <si>
    <t>Aging of Trade receivables</t>
  </si>
  <si>
    <t>The aging of gross trade receivables as at the statement of Financial Position date was:</t>
  </si>
  <si>
    <t>Aging of Advances and Deposits</t>
  </si>
  <si>
    <t>The aging of Advances, Deposits &amp; Prepayments as at the statement of financial position date was as follows:</t>
  </si>
  <si>
    <t xml:space="preserve">For 0-90 days </t>
  </si>
  <si>
    <t xml:space="preserve">For 91-180 days </t>
  </si>
  <si>
    <t xml:space="preserve">For 181 -365 days </t>
  </si>
  <si>
    <t xml:space="preserve">For more than 365 days </t>
  </si>
  <si>
    <t>Market Price:</t>
  </si>
  <si>
    <t>Aging of sundry creditors</t>
  </si>
  <si>
    <t>The aging of Sundry creditors as at the statement of financial position date was as follows:</t>
  </si>
  <si>
    <t>20.1</t>
  </si>
  <si>
    <t>Shares of the Company are listed in the Dhaka and Chittagong Stock Exchanges and quoted at Tk. 132.00 per share as (2018 : Tk.102.90) and Tk 133.30 per share (2018 : Tk. 100.20) in the Dhaka and Chittagong Stock Exchanges respectively on June 30, 2019.</t>
  </si>
  <si>
    <t>Tax on income of IIG department (18,68,84,300X 50% X 25%)</t>
  </si>
  <si>
    <t>Power System-IIG</t>
  </si>
  <si>
    <t>Add: interest for 105 days(16/03/19-30/06/19)tk.8,19,20,817 /180 X 105)</t>
  </si>
  <si>
    <t xml:space="preserve">The financial statements have been prepared in accordance with the International  Financial Reporting Standards (IFRS) and International Accounting Standards (IAS), the Companies Act 1994, the Securities and Exchange Rules, 1987 and other applicable laws and regulations in Bangladesh. </t>
  </si>
  <si>
    <t>Note: 16</t>
  </si>
  <si>
    <t>Note: 38</t>
  </si>
  <si>
    <t>Note: 42</t>
  </si>
  <si>
    <t>IAS No.</t>
  </si>
  <si>
    <t>IFRS No.</t>
  </si>
  <si>
    <t>(Note:5.1)</t>
  </si>
  <si>
    <t>(Note:5.2)</t>
  </si>
  <si>
    <t>(Note:9.1)</t>
  </si>
  <si>
    <t>(Note:9.2)</t>
  </si>
  <si>
    <t>(Note: 16.1)</t>
  </si>
  <si>
    <t>(Note: 16.2)</t>
  </si>
  <si>
    <t>(Note: 18.1)</t>
  </si>
  <si>
    <t>(Note: 18.2)</t>
  </si>
  <si>
    <t>(Note: 18.3)</t>
  </si>
  <si>
    <t>Fiber@Home Ltd</t>
  </si>
  <si>
    <t>Unclaimed dividend</t>
  </si>
  <si>
    <t>These financial statements have been prepared under the historical cost convention applying accrual basis of accounting in accordance with International Financial Reporting Standards (IFRSs) except for the following items in the financial statements of financial position :</t>
  </si>
  <si>
    <t>Property, plant and equipment are stated at cost or revalued amount, if any, less accumulated depreciation in compliance with IAS-16: Property Plant and Equipment. The cost of acquisition of an asset comprises its purchase price and any direct attributable cost of bringing the assets to its working condition for its intended use.</t>
  </si>
  <si>
    <t>Deferred tax has been recognized in accordance with the provision of IAS 12: Income Taxes, based on the deductible or taxable temporary difference between the carrying amount of assets / liabilities and its tax base. Deferred tax asset or liability is the amount of income tax recoverable or payable in the future periods recognized in the current period. Deferred tax asset or liability does not create a legal recoverability or liability from or to tax authority. Related deferred tax income / expense is recognized as well in the Statement of Profit or Loss and Other Comprehensive Income. Deferred tax assets and liabilities are offsetted if there is a legally enforceable right to offset current tax liabilities and assets, and they relate to income taxes levied by the same tax authority on the same taxable entity.</t>
  </si>
  <si>
    <t>Level Thee Tax Deduction</t>
  </si>
  <si>
    <t>Challan # 307</t>
  </si>
  <si>
    <t>HRC Security Adjustment</t>
  </si>
  <si>
    <t>Level 3 Security Adjustment</t>
  </si>
  <si>
    <t>Business dev for Bishow Sahitto Kendro</t>
  </si>
  <si>
    <t>Mir Telecom VAT double posting</t>
  </si>
  <si>
    <t>Deferred tax assets and liabilities have been recognized and measured in accordance with the provisions of IFRS 12: Income Taxes. Related deferred tax expense/(income) have been disclosed in Note: 43. Deferred tax assets and liabilities are attributable to the following:</t>
  </si>
  <si>
    <t>Investment in shares is treated as held for trading financial assets as per IAS 39-Financial Instruments: Recognition and Measurement and any fluctuation in market price is accounted for through Statement of Profit or Loss and Other Comprehensive Income. Investment in shares has been presented at fair market value as per IAS 39- Financial Instruments: Recognition and Measurement.</t>
  </si>
  <si>
    <t>In 2011-2012, total amount of Tk. 775,000,000 was received as share premium in respect of shares issued to shareholders. Net issue cost of Tk 51,706,241 was set off against share premium as per IAS 32: Financial Instruments: Presentation.</t>
  </si>
  <si>
    <t>Dividend for the year</t>
  </si>
  <si>
    <t>Less: Paid</t>
  </si>
  <si>
    <t>The financial statements are presented in Taka/Tk./BDT, which is the company's functional currency. Transactions in foreign currencies are recorded in the books at the exchange rate prevailing on the date of the transaction. Assets and liabilities outstanding at 30 June 2019 denominated in foreign currencies have been shown in Taka at the rate in terms of foreign currencies ruling on the financial position date. Exchange differences arising on the settlement of monetary items or on translating monetary items at the end of the reporting period are recognised in the Statement of Profit or Loss and Other Comprehensive Income as per IAS 21: The Effects of Changes in Foreign Exchange Rates.</t>
  </si>
  <si>
    <t>Sonali Bank Limited-Cox's bazar</t>
  </si>
  <si>
    <t>For the income year 2010-11 an amount of tk. 2,52,40,639 has been demanded by DCT against of which appeal is processed to  High Court Division. For the income year 2012-13 after revised assessment of DCT the demand amount is Tk. 78,79,309 which has already been paid and receiving certificate is pending. We have filed an appeal for the Income year 2013-14 to  the High Court Division. As per revised order of DCT Tk. 40,79 846/- has been deposited and receiving certificate is pending for the year 2014-15.  Assessment Order of  income year 2015-16 was received in which DCT demanded Tk.82,03,930/-and further appeal was made to the Tribunal and the Tribunal confirm one portion and set aside the other portion. Appeal was made to the Commissioner (Appeal ) for set aside portion. Return of the income year 2016-2017 was filed to DCT for assessment and DCT demanded Tk. 4,68,30,131 for this year against which appeal was made to the Commissioner (Appeal) and the order from Appeal (commissioner) has been issued for both the income year. Now assessment for the year 2015-2016 and 2016-2017 remains under process at Tribunal.Return of the income year 2017-2018 remains under process at DCT.</t>
  </si>
  <si>
    <t>Year</t>
  </si>
  <si>
    <t>Acc. Depreciation</t>
  </si>
  <si>
    <t>WDV</t>
  </si>
  <si>
    <t>2011-2012</t>
  </si>
  <si>
    <t>2012-2013</t>
  </si>
  <si>
    <t>2013-2014</t>
  </si>
  <si>
    <t>2014-2015</t>
  </si>
  <si>
    <t>2015-2016</t>
  </si>
  <si>
    <t>Tax holiday reserve (16,36,72,901 X 50% X 40%)</t>
  </si>
  <si>
    <t>Tax</t>
  </si>
  <si>
    <t>Issue: 6</t>
  </si>
  <si>
    <t>Different method of depreciation is used for similar assets</t>
  </si>
  <si>
    <t xml:space="preserve">Depreciated item </t>
  </si>
  <si>
    <t>Straigh line
method</t>
  </si>
  <si>
    <t>Reducing balance
method</t>
  </si>
  <si>
    <t>Difference</t>
  </si>
  <si>
    <t>Tax Value</t>
  </si>
  <si>
    <t>This represents the amount of Tk.52,37,27,987.00 VAT receivable from clients against revenue receivable  from clients arising from International Private Leased Circuit (IPLC) rentals, IP transit service, and Co-location charges. In addition to that this amount of Tk. 20,050,945.00 includes VAT deducted from other parties and suppliers.</t>
  </si>
  <si>
    <t>Unearned Revunue</t>
  </si>
  <si>
    <r>
      <t xml:space="preserve">A schedule of property, plant &amp; equipment is given in </t>
    </r>
    <r>
      <rPr>
        <sz val="11"/>
        <color theme="1"/>
        <rFont val="Calibri"/>
        <family val="2"/>
        <scheme val="minor"/>
      </rPr>
      <t>Annexure-A</t>
    </r>
    <r>
      <rPr>
        <sz val="11"/>
        <color theme="1"/>
        <rFont val="Calibri"/>
        <family val="2"/>
        <scheme val="minor"/>
      </rPr>
      <t>. Adjusment in Cost and Accumulated Depreciation is for a non-current aasset (Vehicle) held for sale,Core Equipment (SMW-4) .</t>
    </r>
  </si>
  <si>
    <r>
      <t>A detailed Schedule of trade receivable is given in</t>
    </r>
    <r>
      <rPr>
        <sz val="11"/>
        <color theme="1"/>
        <rFont val="Calibri"/>
        <family val="2"/>
        <scheme val="minor"/>
      </rPr>
      <t xml:space="preserve"> Annexure-B</t>
    </r>
  </si>
  <si>
    <r>
      <rPr>
        <sz val="11"/>
        <color theme="1"/>
        <rFont val="Calibri"/>
        <family val="2"/>
        <scheme val="minor"/>
      </rPr>
      <t>A detailed schedule of Security deposit received from clients is given in</t>
    </r>
    <r>
      <rPr>
        <sz val="11"/>
        <color theme="1"/>
        <rFont val="Calibri"/>
        <family val="2"/>
        <scheme val="minor"/>
      </rPr>
      <t xml:space="preserve"> Annexure-C</t>
    </r>
  </si>
  <si>
    <t>Dated, Dhaka;</t>
  </si>
  <si>
    <t>Co-location charges</t>
  </si>
  <si>
    <t>IP transit service-export</t>
  </si>
  <si>
    <t>Backhaul &amp; data connectivity charge</t>
  </si>
  <si>
    <t>IP transit cost</t>
  </si>
  <si>
    <t>Lease rent</t>
  </si>
  <si>
    <t>Share 
premium</t>
  </si>
  <si>
    <t>Share 
capital</t>
  </si>
  <si>
    <t>Equity money 
from GoB</t>
  </si>
  <si>
    <t>Tax holiday 
reserve</t>
  </si>
  <si>
    <t>Revaluation 
reserve</t>
  </si>
  <si>
    <t>Retained 
earnings</t>
  </si>
  <si>
    <t>Total 
equity</t>
  </si>
  <si>
    <t>Period</t>
  </si>
  <si>
    <t>Taxable/ (deductible) temporary difference</t>
  </si>
  <si>
    <t>To Collect the outstanding amount from disconnected parties legal action like money suit and Other case has been filed against 4 (Four) parties for taka 47,044,717.77. Arbitration procedure has been initiated against 4 (Four) parties for taka 17,79,32309.08. Other disconnected parties who are not paying money will bring under legal action soon. Bsccl has been applied for inclusion as a party of Debtor in the liquidation process against Apple Global Ltd against amount of Tk.40,47,909.42. Reconciliation with BTCL regarding Outstanding amount is in final stage.</t>
  </si>
  <si>
    <t>Provision for bad and doubtful debts  has  been made as per company policy and as recommended by Audit Committee.</t>
  </si>
  <si>
    <t>The fixed deposits will be matured within 3 (three)/6 (Six) months, ninemonths, and yearly.</t>
  </si>
  <si>
    <t xml:space="preserve">Depreciation on property, plant and equipment is charged on reducing balance method and Straight Line method considering the economic and useful lives of such assets. Periodical depreciation has been charged  during the year where applicable. On the other hand, straightline method has been charged on newly recognised fixed assets relating to SMW-5( 2nd Submarine Cable). Depreciation method, useful lives and residual values are reviewed at each year-end and adjusted if appropriate. </t>
  </si>
  <si>
    <t>Ninth year (1 July 2021 to 30 June 2022)</t>
  </si>
  <si>
    <t>In acse of recurring services for IPLC (International Private Leased Circuit) rent, Invoice is generated at the beginning of each month and recognised as income after receipts of the Invoice by Customers satisfying the performance obligation as the customer simultaneously receives and consumes the benefits provided by BSCCL   i.e. over the period of time to comply the guidelines of IFRS 15 . In case of new service or enhencement of service, Clients are billed in the form of Demand Note and revenue is recognised at point of time.</t>
  </si>
  <si>
    <t>Revenue from Circuit activation charges consists of charges imposed to clients for activation of new circuits in the form of Registration and Installtion charge  through demand notes. These charges are recognised after receiving of the billed amount and satisfaction of performance obligation and at point of time.</t>
  </si>
  <si>
    <t>IP Transit  service charges for providing internet bandwidth to IIGs and ISPs.In acse of recurring services for IPLC (International Private Leased Circuit) rent, Invoice is generated at the beginning of each month and recognised as income after receipts of the Invoice by Customers satisfying the performance obligation as the customer simultaneously receives and consumes the benefits provided by BSCCL   i.e. over the period of time to comply the guidelines of IFRS 15 . In case of new service or enhencement of service, Clients are billed in the form of Demand Note and revenue is recognised at point of time.</t>
  </si>
  <si>
    <t>Income from Co-location charges arise for using BSCCL's resources at Cox's bazar and Dhaka..In acse of recurring services for IPLC (International Private Leased Circuit) rent, Invoice is generated at the beginning of each month and recognised as income after receipts of the Invoice by Customers satisfying the performance obligation as the customer simultaneously receives and consumes the benefits provided by BSCCL   i.e. over the period of time to comply the guidelines of IFRS 15 . In case of new service or enhencement of service, Clients are billed in the form of Demand Note and revenue is recognised at point of time.</t>
  </si>
  <si>
    <t>This represents charges to Bharat Sanchar Nigam Limited(BSNL) for IP transit service. For this service, Invoice is generated at the beginning of each quarter in advance and revenue is recognised over the period of time.</t>
  </si>
  <si>
    <t xml:space="preserve">IFRS 15 is a new Standard to improve financial reporting of revenue and provide better clarity  on revenue recognition. IFRS 15 establishes principles for reporting revenue to users of financial statements about the nature, amount, timing and uncertinity of revenue and cashflows arising from an entity's contracts with customers. Under IFRS 15, revenue is only recognised when a customer obtains control of a good or service and thus has the ability to direct the use and obtain the benefits from the good or service. Revenues are measured at the  rate approved by the BoD time to time in respect of each performance obligation , net of discounts and sales related taxes. These taxes are regarded as collected on behalf of the authorities. In case of new service or enhencement of service, Clients are billed in the form of Demand Note and revenue is recognised at point of time. Where the amounts received or receivable from customers exceeded the revenues recognised for contracts, contract liabilities or advance billings are recognised in the statement of Financial Position as Unearned Revenue. Contract liabilities or advance billings are recognised as revenue when services are provided to customers satisfying the performance obligation.
            </t>
  </si>
  <si>
    <t xml:space="preserve">Financial charges </t>
  </si>
  <si>
    <t>Loan repaid</t>
  </si>
  <si>
    <t>As at 30  September 2019</t>
  </si>
  <si>
    <t>For the period ended 30 September 2019</t>
  </si>
  <si>
    <t>Balance as at 01 July 2019</t>
  </si>
  <si>
    <t>For the period ended  30 September 2019</t>
  </si>
  <si>
    <t>Balance as at 30 Sep.2018</t>
  </si>
  <si>
    <t>Statement of Profit or Loss and Other Comprehensive Income(Un-audited)</t>
  </si>
  <si>
    <t>Statement of Changes in Equity (Un-audited)</t>
  </si>
  <si>
    <t xml:space="preserve"> Statement of Cash Flows (Un- audited)</t>
  </si>
  <si>
    <t>Net profit after tax for the period</t>
  </si>
  <si>
    <t>Net surplus/ deficit during the period(A+B+C)</t>
  </si>
  <si>
    <t>Cash and cash equivalents at beginning of the period</t>
  </si>
  <si>
    <t>Cash and cash equivalents at end of the period</t>
  </si>
  <si>
    <t>Exchange fluctuation Gain</t>
  </si>
  <si>
    <t>Non-current assets</t>
  </si>
  <si>
    <t>Exchange fluctuation gain</t>
  </si>
  <si>
    <t>Balance as at 30 September 2019</t>
  </si>
  <si>
    <t>Loss on disposal of fixed assets</t>
  </si>
  <si>
    <t>30 Sep 2019</t>
  </si>
  <si>
    <t>30 Sep 2018</t>
  </si>
  <si>
    <t>July- Sep 2019</t>
  </si>
  <si>
    <t>July- Sep 2018</t>
  </si>
  <si>
    <t>30 Sep  2019</t>
  </si>
  <si>
    <t>Statement of Financial Position (Un-audited)</t>
  </si>
  <si>
    <t>14 November 2019</t>
  </si>
  <si>
    <t>Issue-1: Significant Increase in Revenue</t>
  </si>
  <si>
    <t xml:space="preserve">Bangladesh Submarine Cable Company Limited (BSCCL)’s turnover is mainly comprised of IPLC Rent, IP Transit Service and Co-location Service. BSCCL has implemented Regional Submarine Telecommunications Project, Bangladesh (SMW-5) Project and started providing service commercially through the system during the period under consideration. In addition to that, substantial effort of BSCCL’s management, Govt. policy of digitalization of govt. service and introduction of 4G services contributed to increase in overall IPLC consumption in the country. Consequently, BSCCL’s revenue also increased. </t>
  </si>
  <si>
    <t>Issue-2: Significant Increase in EPS</t>
  </si>
  <si>
    <t>Issue-3: Significant Increase in Operating Cashflows:</t>
  </si>
  <si>
    <t xml:space="preserve">BSCCL has emphasized on revenue collection and took some stern steps for the realization which led to significant increment of Cash Received from clients as disclosed in the Statement of Cash Flows. Consequently Net Operating Cash Flow per Share of BSCCL has been increased compared to that  of previous period of last year. Please note that there was no cash flow due to Extraordinary Transactions during this period. </t>
  </si>
  <si>
    <t>NB: The detail of the published quarterly financial statements is available in the website of the issuer of securities. The address of the website is www.bsccl.com</t>
  </si>
  <si>
    <t xml:space="preserve">             Sd/-                                                         Sd/-                                                     Sd/-                                              Sd/-                              Sd/-</t>
  </si>
  <si>
    <t>Chief Financial Officer   Company Secretary     Managing Director     Director    Chairman</t>
  </si>
  <si>
    <t xml:space="preserve">             Sd/-                                   Sd/-                                Sd/-                       Sd/-           Sd/-</t>
  </si>
  <si>
    <t xml:space="preserve">EPS has been increased due to increase in Revenue and there was no significant additional expenditure against the increased revenue on the other hand expenditure has been reduced in some head of Expenditure.There was no Extraordinary Transactions during this period.  </t>
  </si>
  <si>
    <t>Explanatory notes for the significant variations in the Financial Statements for the First Quarter ended 30 September 2019:</t>
  </si>
  <si>
    <t>Chief Financial Officer  Company Secretary       Managing Director         Director         Chairman</t>
  </si>
  <si>
    <t xml:space="preserve">                Sd/-                            Sd/-                              Sd/-                      Sd/-                   Sd/-</t>
  </si>
  <si>
    <t>Chief Financial Officer      Company Secretary        Managing Director         Director      Chairman</t>
  </si>
  <si>
    <t xml:space="preserve">            Sd/-                               Sd/-                                Sd/-                         Sd/-               Sd/-</t>
  </si>
  <si>
    <t>Chief Financial Officer                            Company Secretary                           Managing Director                                   Director                            Chairman</t>
  </si>
</sst>
</file>

<file path=xl/styles.xml><?xml version="1.0" encoding="utf-8"?>
<styleSheet xmlns="http://schemas.openxmlformats.org/spreadsheetml/2006/main">
  <numFmts count="18">
    <numFmt numFmtId="43" formatCode="_ * #,##0.00_ ;_ * \-#,##0.00_ ;_ * &quot;-&quot;??_ ;_ @_ "/>
    <numFmt numFmtId="164" formatCode="_(* #,##0_);_(* \(#,##0\);_(* &quot;-&quot;_);_(@_)"/>
    <numFmt numFmtId="165" formatCode="_(* #,##0.00_);_(* \(#,##0.00\);_(* &quot;-&quot;??_);_(@_)"/>
    <numFmt numFmtId="166" formatCode="_(* #,##0_);_(* \(#,##0\);_(* &quot;-&quot;??_);_(@_)"/>
    <numFmt numFmtId="167" formatCode="_(* #,##0.0_);_(* \(#,##0.0\);_(* &quot;-&quot;??_);_(@_)"/>
    <numFmt numFmtId="168" formatCode="0;[Red]0"/>
    <numFmt numFmtId="169" formatCode="0.00000%"/>
    <numFmt numFmtId="170" formatCode="0.0%"/>
    <numFmt numFmtId="171" formatCode="_(* #,##0.000000000_);_(* \(#,##0.000000000\);_(* &quot;-&quot;??_);_(@_)"/>
    <numFmt numFmtId="172" formatCode="0.000%"/>
    <numFmt numFmtId="173" formatCode="[$BDT]\ #,##0;[Red][$BDT]\ #,##0"/>
    <numFmt numFmtId="174" formatCode="#,##0.0_);\(#,##0.0\)"/>
    <numFmt numFmtId="175" formatCode="[$-409]d\-mmm\-yy;@"/>
    <numFmt numFmtId="176" formatCode="[$-409]d\-mmm\-yyyy;@"/>
    <numFmt numFmtId="177" formatCode="00000"/>
    <numFmt numFmtId="178" formatCode="0.0"/>
    <numFmt numFmtId="179" formatCode="dd/mm/yyyy"/>
    <numFmt numFmtId="180" formatCode="#,##0.0;\-#,##0.0"/>
  </numFmts>
  <fonts count="9">
    <font>
      <sz val="11"/>
      <color theme="1"/>
      <name val="Calibri"/>
      <family val="2"/>
      <scheme val="minor"/>
    </font>
    <font>
      <sz val="11"/>
      <color indexed="8"/>
      <name val="Calibri"/>
      <family val="2"/>
    </font>
    <font>
      <sz val="11"/>
      <color theme="1"/>
      <name val="Calibri"/>
      <family val="2"/>
      <scheme val="minor"/>
    </font>
    <font>
      <sz val="12"/>
      <color theme="1"/>
      <name val="Calibri"/>
      <family val="2"/>
      <scheme val="minor"/>
    </font>
    <font>
      <b/>
      <sz val="12"/>
      <color theme="1"/>
      <name val="Times New Roman"/>
      <family val="1"/>
    </font>
    <font>
      <sz val="11"/>
      <color theme="1"/>
      <name val="Times New Roman"/>
      <family val="1"/>
    </font>
    <font>
      <b/>
      <sz val="11"/>
      <color theme="1"/>
      <name val="Times New Roman"/>
      <family val="1"/>
    </font>
    <font>
      <b/>
      <sz val="11.5"/>
      <name val="Book Antiqua"/>
      <family val="1"/>
    </font>
    <font>
      <sz val="11.5"/>
      <name val="Book Antiqua"/>
      <family val="1"/>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2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034">
    <xf numFmtId="0" fontId="0" fillId="0" borderId="0"/>
    <xf numFmtId="0" fontId="1" fillId="0" borderId="0"/>
    <xf numFmtId="0" fontId="2" fillId="0" borderId="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840">
    <xf numFmtId="0" fontId="0" fillId="0" borderId="0" xfId="0"/>
    <xf numFmtId="37" fontId="2" fillId="0" borderId="0" xfId="701" applyNumberFormat="1" applyFont="1" applyFill="1"/>
    <xf numFmtId="37" fontId="2" fillId="0" borderId="0" xfId="701" applyNumberFormat="1" applyFont="1"/>
    <xf numFmtId="166" fontId="2" fillId="0" borderId="0" xfId="701" applyNumberFormat="1" applyFont="1" applyFill="1" applyAlignment="1" applyProtection="1">
      <alignment horizontal="center"/>
    </xf>
    <xf numFmtId="0" fontId="2" fillId="0" borderId="0" xfId="701" applyNumberFormat="1" applyFont="1" applyFill="1"/>
    <xf numFmtId="166" fontId="2" fillId="0" borderId="0" xfId="701" applyNumberFormat="1" applyFont="1" applyFill="1"/>
    <xf numFmtId="0" fontId="2" fillId="0" borderId="0" xfId="701" applyNumberFormat="1" applyFont="1" applyFill="1" applyAlignment="1" applyProtection="1">
      <alignment horizontal="left"/>
    </xf>
    <xf numFmtId="166" fontId="2" fillId="0" borderId="0" xfId="701" applyNumberFormat="1" applyFont="1" applyFill="1" applyBorder="1" applyAlignment="1">
      <alignment horizontal="right"/>
    </xf>
    <xf numFmtId="37" fontId="2" fillId="0" borderId="1" xfId="701" applyNumberFormat="1" applyFont="1" applyFill="1" applyBorder="1" applyAlignment="1">
      <alignment horizontal="right"/>
    </xf>
    <xf numFmtId="166" fontId="2" fillId="0" borderId="0" xfId="701" applyNumberFormat="1" applyFont="1" applyFill="1" applyBorder="1"/>
    <xf numFmtId="0" fontId="2" fillId="0" borderId="0" xfId="701" applyNumberFormat="1" applyFont="1"/>
    <xf numFmtId="166" fontId="2" fillId="0" borderId="1" xfId="701" applyNumberFormat="1" applyFont="1" applyFill="1" applyBorder="1"/>
    <xf numFmtId="0" fontId="2" fillId="0" borderId="0" xfId="701" applyNumberFormat="1" applyFont="1" applyAlignment="1" applyProtection="1"/>
    <xf numFmtId="37" fontId="2" fillId="0" borderId="2" xfId="701" applyNumberFormat="1" applyFont="1" applyFill="1" applyBorder="1"/>
    <xf numFmtId="37" fontId="2" fillId="0" borderId="0" xfId="701" applyNumberFormat="1" applyFont="1" applyFill="1" applyBorder="1"/>
    <xf numFmtId="37" fontId="2" fillId="0" borderId="3" xfId="701" applyNumberFormat="1" applyFont="1" applyFill="1" applyBorder="1"/>
    <xf numFmtId="37" fontId="2" fillId="0" borderId="4" xfId="701" applyNumberFormat="1" applyFont="1" applyFill="1" applyBorder="1"/>
    <xf numFmtId="37" fontId="2" fillId="0" borderId="0" xfId="701" applyNumberFormat="1" applyFont="1" applyFill="1" applyAlignment="1" applyProtection="1">
      <alignment horizontal="left"/>
    </xf>
    <xf numFmtId="166" fontId="2" fillId="0" borderId="0" xfId="701" applyNumberFormat="1" applyFont="1" applyFill="1" applyBorder="1" applyProtection="1"/>
    <xf numFmtId="166" fontId="2" fillId="0" borderId="2" xfId="701" applyNumberFormat="1" applyFont="1" applyFill="1" applyBorder="1"/>
    <xf numFmtId="166" fontId="2" fillId="0" borderId="3" xfId="701" applyNumberFormat="1" applyFont="1" applyFill="1" applyBorder="1" applyProtection="1"/>
    <xf numFmtId="166" fontId="2" fillId="0" borderId="0" xfId="701" applyNumberFormat="1" applyFont="1" applyFill="1" applyBorder="1" applyAlignment="1" applyProtection="1">
      <alignment horizontal="center"/>
    </xf>
    <xf numFmtId="166" fontId="2" fillId="0" borderId="0" xfId="701" applyNumberFormat="1" applyFont="1"/>
    <xf numFmtId="37" fontId="2" fillId="0" borderId="0" xfId="701" applyNumberFormat="1" applyFont="1" applyBorder="1"/>
    <xf numFmtId="166" fontId="2" fillId="0" borderId="4" xfId="701" applyNumberFormat="1" applyFont="1" applyBorder="1"/>
    <xf numFmtId="166" fontId="2" fillId="0" borderId="0" xfId="701" applyNumberFormat="1" applyFont="1" applyBorder="1"/>
    <xf numFmtId="37" fontId="2" fillId="0" borderId="5" xfId="701" applyNumberFormat="1" applyFont="1" applyBorder="1"/>
    <xf numFmtId="37" fontId="2" fillId="0" borderId="0" xfId="701" applyNumberFormat="1" applyFont="1" applyAlignment="1">
      <alignment horizontal="center"/>
    </xf>
    <xf numFmtId="166" fontId="2" fillId="0" borderId="2" xfId="701" applyNumberFormat="1" applyFont="1" applyBorder="1"/>
    <xf numFmtId="37" fontId="2" fillId="0" borderId="1" xfId="701" applyNumberFormat="1" applyFont="1" applyFill="1" applyBorder="1"/>
    <xf numFmtId="166" fontId="2" fillId="0" borderId="1" xfId="701" applyNumberFormat="1" applyFont="1" applyBorder="1"/>
    <xf numFmtId="37" fontId="2" fillId="0" borderId="3" xfId="701" applyNumberFormat="1" applyFont="1" applyBorder="1"/>
    <xf numFmtId="37" fontId="2" fillId="0" borderId="6" xfId="701" applyNumberFormat="1" applyFont="1" applyFill="1" applyBorder="1"/>
    <xf numFmtId="37" fontId="2" fillId="0" borderId="5" xfId="701" applyNumberFormat="1" applyFont="1" applyFill="1" applyBorder="1"/>
    <xf numFmtId="166" fontId="2" fillId="0" borderId="5" xfId="701" applyNumberFormat="1" applyFont="1" applyBorder="1"/>
    <xf numFmtId="166" fontId="2" fillId="0" borderId="5" xfId="701" applyNumberFormat="1" applyFont="1" applyFill="1" applyBorder="1" applyAlignment="1" applyProtection="1">
      <alignment horizontal="center"/>
    </xf>
    <xf numFmtId="37" fontId="2" fillId="0" borderId="4" xfId="701" quotePrefix="1" applyNumberFormat="1" applyFont="1" applyFill="1" applyBorder="1" applyAlignment="1">
      <alignment horizontal="right"/>
    </xf>
    <xf numFmtId="37" fontId="2" fillId="2" borderId="0" xfId="701" applyNumberFormat="1" applyFont="1" applyFill="1"/>
    <xf numFmtId="166" fontId="2" fillId="2" borderId="0" xfId="701" applyNumberFormat="1" applyFont="1" applyFill="1" applyAlignment="1" applyProtection="1">
      <alignment horizontal="center"/>
    </xf>
    <xf numFmtId="166" fontId="2" fillId="2" borderId="0" xfId="701" applyNumberFormat="1" applyFont="1" applyFill="1"/>
    <xf numFmtId="166" fontId="2" fillId="2" borderId="3" xfId="701" applyNumberFormat="1" applyFont="1" applyFill="1" applyBorder="1"/>
    <xf numFmtId="166" fontId="2" fillId="2" borderId="0" xfId="701" applyNumberFormat="1" applyFont="1" applyFill="1" applyBorder="1"/>
    <xf numFmtId="37" fontId="2" fillId="2" borderId="0" xfId="701" applyNumberFormat="1" applyFont="1" applyFill="1" applyAlignment="1">
      <alignment horizontal="right"/>
    </xf>
    <xf numFmtId="166" fontId="2" fillId="2" borderId="1" xfId="701" applyNumberFormat="1" applyFont="1" applyFill="1" applyBorder="1" applyProtection="1"/>
    <xf numFmtId="166" fontId="2" fillId="2" borderId="3" xfId="701" applyNumberFormat="1" applyFont="1" applyFill="1" applyBorder="1" applyProtection="1"/>
    <xf numFmtId="166" fontId="2" fillId="2" borderId="1" xfId="701" applyNumberFormat="1" applyFont="1" applyFill="1" applyBorder="1"/>
    <xf numFmtId="166" fontId="2" fillId="2" borderId="2" xfId="701" applyNumberFormat="1" applyFont="1" applyFill="1" applyBorder="1"/>
    <xf numFmtId="38" fontId="2" fillId="2" borderId="1" xfId="701" applyNumberFormat="1" applyFont="1" applyFill="1" applyBorder="1" applyProtection="1"/>
    <xf numFmtId="38" fontId="2" fillId="2" borderId="2" xfId="701" applyNumberFormat="1" applyFont="1" applyFill="1" applyBorder="1" applyProtection="1"/>
    <xf numFmtId="37" fontId="2" fillId="0" borderId="0" xfId="701" applyNumberFormat="1" applyFont="1" applyAlignment="1">
      <alignment horizontal="left"/>
    </xf>
    <xf numFmtId="15" fontId="2" fillId="0" borderId="0" xfId="701" applyNumberFormat="1" applyFont="1" applyFill="1" applyAlignment="1" applyProtection="1">
      <alignment horizontal="center"/>
    </xf>
    <xf numFmtId="165" fontId="2" fillId="0" borderId="0" xfId="701" applyNumberFormat="1" applyFont="1" applyBorder="1"/>
    <xf numFmtId="37" fontId="2" fillId="0" borderId="0" xfId="701" applyNumberFormat="1" applyFont="1" applyAlignment="1">
      <alignment horizontal="center"/>
    </xf>
    <xf numFmtId="37" fontId="2" fillId="0" borderId="0" xfId="701" applyNumberFormat="1" applyFont="1" applyFill="1" applyAlignment="1">
      <alignment horizontal="center"/>
    </xf>
    <xf numFmtId="37" fontId="2" fillId="2" borderId="1" xfId="701" applyNumberFormat="1" applyFont="1" applyFill="1" applyBorder="1"/>
    <xf numFmtId="167" fontId="2" fillId="0" borderId="0" xfId="701" applyNumberFormat="1" applyFont="1" applyAlignment="1">
      <alignment horizontal="center"/>
    </xf>
    <xf numFmtId="1" fontId="2" fillId="0" borderId="0" xfId="701" applyNumberFormat="1" applyFont="1" applyFill="1" applyAlignment="1" applyProtection="1">
      <alignment horizontal="center"/>
    </xf>
    <xf numFmtId="0" fontId="2" fillId="0" borderId="0" xfId="701" quotePrefix="1" applyNumberFormat="1" applyFont="1" applyAlignment="1">
      <alignment horizontal="center"/>
    </xf>
    <xf numFmtId="0" fontId="2" fillId="0" borderId="0" xfId="701" applyNumberFormat="1" applyFont="1" applyAlignment="1" applyProtection="1">
      <alignment horizontal="left"/>
    </xf>
    <xf numFmtId="0" fontId="2" fillId="0" borderId="0" xfId="701" applyNumberFormat="1" applyFont="1" applyAlignment="1">
      <alignment horizontal="center"/>
    </xf>
    <xf numFmtId="37" fontId="2" fillId="0" borderId="7" xfId="701" applyNumberFormat="1" applyFont="1" applyBorder="1"/>
    <xf numFmtId="37" fontId="2" fillId="0" borderId="0" xfId="701" applyNumberFormat="1" applyFont="1" applyAlignment="1">
      <alignment horizontal="justify" vertical="top" wrapText="1"/>
    </xf>
    <xf numFmtId="166" fontId="2" fillId="0" borderId="0" xfId="701" applyNumberFormat="1" applyFont="1" applyBorder="1" applyProtection="1"/>
    <xf numFmtId="0" fontId="2" fillId="0" borderId="0" xfId="701" applyNumberFormat="1" applyFont="1" applyAlignment="1" applyProtection="1">
      <alignment horizontal="justify" vertical="top" wrapText="1"/>
    </xf>
    <xf numFmtId="0" fontId="2" fillId="0" borderId="0" xfId="701" applyNumberFormat="1" applyFont="1" applyFill="1" applyAlignment="1">
      <alignment horizontal="center" vertical="center" wrapText="1"/>
    </xf>
    <xf numFmtId="37" fontId="2" fillId="0" borderId="0" xfId="701" applyNumberFormat="1" applyFont="1" applyAlignment="1">
      <alignment vertical="top" wrapText="1"/>
    </xf>
    <xf numFmtId="37" fontId="2" fillId="0" borderId="0" xfId="701" applyNumberFormat="1" applyFont="1" applyAlignment="1"/>
    <xf numFmtId="166" fontId="2" fillId="0" borderId="0" xfId="701" applyNumberFormat="1" applyFont="1" applyAlignment="1"/>
    <xf numFmtId="37" fontId="2" fillId="0" borderId="0" xfId="701" applyNumberFormat="1" applyFont="1" applyAlignment="1">
      <alignment horizontal="left" vertical="center" wrapText="1"/>
    </xf>
    <xf numFmtId="37" fontId="2" fillId="0" borderId="0" xfId="701" applyNumberFormat="1" applyFont="1" applyAlignment="1">
      <alignment vertical="center" wrapText="1"/>
    </xf>
    <xf numFmtId="0" fontId="2" fillId="0" borderId="0" xfId="701" applyNumberFormat="1" applyFont="1" applyFill="1" applyAlignment="1">
      <alignment horizontal="center"/>
    </xf>
    <xf numFmtId="37" fontId="2" fillId="0" borderId="0" xfId="701" applyNumberFormat="1" applyFont="1" applyFill="1" applyAlignment="1"/>
    <xf numFmtId="37" fontId="2" fillId="0" borderId="0" xfId="701" applyNumberFormat="1" applyFont="1" applyFill="1" applyAlignment="1">
      <alignment horizontal="justify" vertical="top" wrapText="1"/>
    </xf>
    <xf numFmtId="37" fontId="2" fillId="0" borderId="0" xfId="701" applyNumberFormat="1" applyFont="1" applyFill="1" applyAlignment="1">
      <alignment vertical="center" wrapText="1"/>
    </xf>
    <xf numFmtId="37" fontId="2" fillId="0" borderId="0" xfId="701" applyNumberFormat="1" applyFont="1" applyFill="1" applyAlignment="1">
      <alignment horizontal="justify" vertical="top" wrapText="1"/>
    </xf>
    <xf numFmtId="166" fontId="2" fillId="0" borderId="0" xfId="701" applyNumberFormat="1" applyFont="1" applyFill="1" applyAlignment="1"/>
    <xf numFmtId="37" fontId="2" fillId="0" borderId="0" xfId="701" quotePrefix="1" applyNumberFormat="1" applyFont="1" applyAlignment="1">
      <alignment horizontal="center"/>
    </xf>
    <xf numFmtId="166" fontId="2" fillId="0" borderId="5" xfId="701" applyNumberFormat="1" applyFont="1" applyBorder="1" applyAlignment="1"/>
    <xf numFmtId="166" fontId="2" fillId="0" borderId="0" xfId="701" applyNumberFormat="1" applyFont="1" applyBorder="1" applyAlignment="1"/>
    <xf numFmtId="37" fontId="2" fillId="0" borderId="0" xfId="701" applyNumberFormat="1" applyFont="1" applyAlignment="1">
      <alignment vertical="center"/>
    </xf>
    <xf numFmtId="37" fontId="2" fillId="0" borderId="0" xfId="701" applyNumberFormat="1" applyFont="1" applyAlignment="1">
      <alignment horizontal="center" vertical="center"/>
    </xf>
    <xf numFmtId="168" fontId="2" fillId="0" borderId="0" xfId="701" applyNumberFormat="1" applyFont="1" applyFill="1" applyAlignment="1">
      <alignment vertical="center"/>
    </xf>
    <xf numFmtId="168" fontId="2" fillId="0" borderId="0" xfId="701" applyNumberFormat="1" applyFont="1" applyFill="1" applyAlignment="1">
      <alignment horizontal="center" vertical="center"/>
    </xf>
    <xf numFmtId="37" fontId="2" fillId="0" borderId="0" xfId="701" applyNumberFormat="1" applyFont="1" applyAlignment="1">
      <alignment horizontal="center" vertical="top" wrapText="1"/>
    </xf>
    <xf numFmtId="169" fontId="2" fillId="0" borderId="0" xfId="701" applyNumberFormat="1" applyFont="1" applyBorder="1" applyAlignment="1"/>
    <xf numFmtId="37" fontId="2" fillId="0" borderId="0" xfId="701" applyNumberFormat="1" applyFont="1" applyAlignment="1">
      <alignment horizontal="left" vertical="center"/>
    </xf>
    <xf numFmtId="37" fontId="2" fillId="0" borderId="5" xfId="701" applyNumberFormat="1" applyFont="1" applyBorder="1" applyAlignment="1">
      <alignment horizontal="center" vertical="top" wrapText="1"/>
    </xf>
    <xf numFmtId="166" fontId="2" fillId="0" borderId="5" xfId="701" applyNumberFormat="1" applyFont="1" applyBorder="1" applyAlignment="1">
      <alignment horizontal="center"/>
    </xf>
    <xf numFmtId="169" fontId="2" fillId="0" borderId="5" xfId="701" applyNumberFormat="1" applyFont="1" applyBorder="1" applyAlignment="1"/>
    <xf numFmtId="37" fontId="2" fillId="0" borderId="0" xfId="701" applyNumberFormat="1" applyFont="1" applyBorder="1" applyAlignment="1">
      <alignment horizontal="center" vertical="top" wrapText="1"/>
    </xf>
    <xf numFmtId="166" fontId="2" fillId="0" borderId="0" xfId="701" applyNumberFormat="1" applyFont="1" applyBorder="1" applyAlignment="1">
      <alignment horizontal="center"/>
    </xf>
    <xf numFmtId="37" fontId="2" fillId="0" borderId="0" xfId="701" applyNumberFormat="1" applyFont="1" applyAlignment="1">
      <alignment horizontal="justify" vertical="top"/>
    </xf>
    <xf numFmtId="0" fontId="2" fillId="0" borderId="0" xfId="701" applyNumberFormat="1" applyFont="1" applyFill="1" applyAlignment="1">
      <alignment horizontal="center"/>
    </xf>
    <xf numFmtId="37" fontId="2" fillId="0" borderId="0" xfId="701" applyNumberFormat="1" applyFont="1" applyFill="1" applyAlignment="1">
      <alignment horizontal="justify" vertical="top"/>
    </xf>
    <xf numFmtId="37" fontId="2" fillId="0" borderId="7" xfId="701" applyNumberFormat="1" applyFont="1" applyFill="1" applyBorder="1"/>
    <xf numFmtId="37" fontId="2" fillId="0" borderId="0" xfId="701" applyNumberFormat="1" applyFont="1" applyAlignment="1">
      <alignment vertical="top" wrapText="1"/>
    </xf>
    <xf numFmtId="166" fontId="2" fillId="0" borderId="7" xfId="701" applyNumberFormat="1" applyFont="1" applyBorder="1"/>
    <xf numFmtId="10" fontId="2" fillId="0" borderId="0" xfId="701" applyNumberFormat="1" applyFont="1" applyFill="1" applyBorder="1"/>
    <xf numFmtId="0" fontId="2" fillId="0" borderId="0" xfId="701" applyNumberFormat="1" applyFont="1" applyAlignment="1">
      <alignment vertical="top"/>
    </xf>
    <xf numFmtId="166" fontId="2" fillId="0" borderId="0" xfId="701" applyNumberFormat="1" applyFont="1" applyAlignment="1">
      <alignment horizontal="center"/>
    </xf>
    <xf numFmtId="0" fontId="2" fillId="0" borderId="0" xfId="701" applyNumberFormat="1" applyFont="1" applyAlignment="1">
      <alignment horizontal="justify" vertical="top" wrapText="1"/>
    </xf>
    <xf numFmtId="37" fontId="2" fillId="0" borderId="4" xfId="701" applyNumberFormat="1" applyFont="1" applyFill="1" applyBorder="1" applyAlignment="1">
      <alignment horizontal="right"/>
    </xf>
    <xf numFmtId="37" fontId="2" fillId="0" borderId="7" xfId="701" applyNumberFormat="1" applyFont="1" applyFill="1" applyBorder="1" applyAlignment="1">
      <alignment horizontal="right" vertical="top" wrapText="1"/>
    </xf>
    <xf numFmtId="166" fontId="2" fillId="0" borderId="5" xfId="701" applyNumberFormat="1" applyFont="1" applyBorder="1" applyAlignment="1">
      <alignment horizontal="justify" vertical="top" wrapText="1"/>
    </xf>
    <xf numFmtId="37" fontId="2" fillId="0" borderId="0" xfId="701" applyNumberFormat="1" applyFont="1" applyBorder="1" applyAlignment="1">
      <alignment horizontal="right" vertical="top" wrapText="1"/>
    </xf>
    <xf numFmtId="166" fontId="2" fillId="0" borderId="0" xfId="701" applyNumberFormat="1" applyFont="1" applyBorder="1" applyAlignment="1">
      <alignment horizontal="justify" vertical="top" wrapText="1"/>
    </xf>
    <xf numFmtId="37" fontId="2" fillId="0" borderId="0" xfId="701" applyNumberFormat="1" applyFont="1" applyAlignment="1">
      <alignment horizontal="justify" vertical="top" wrapText="1"/>
    </xf>
    <xf numFmtId="166" fontId="2" fillId="0" borderId="0" xfId="701" applyNumberFormat="1" applyFont="1" applyFill="1" applyAlignment="1">
      <alignment horizontal="center"/>
    </xf>
    <xf numFmtId="37" fontId="2" fillId="0" borderId="0" xfId="701" applyNumberFormat="1" applyFont="1" applyAlignment="1">
      <alignment horizontal="right"/>
    </xf>
    <xf numFmtId="1" fontId="2" fillId="0" borderId="0" xfId="701" applyNumberFormat="1" applyFont="1" applyFill="1" applyAlignment="1">
      <alignment horizontal="center"/>
    </xf>
    <xf numFmtId="0" fontId="2" fillId="0" borderId="0" xfId="701" applyNumberFormat="1" applyFont="1" applyFill="1"/>
    <xf numFmtId="166" fontId="2" fillId="0" borderId="0" xfId="701" applyNumberFormat="1" applyFont="1" applyFill="1" applyBorder="1" applyAlignment="1">
      <alignment horizontal="center"/>
    </xf>
    <xf numFmtId="166" fontId="2" fillId="0" borderId="0" xfId="701" applyNumberFormat="1" applyFont="1" applyFill="1" applyAlignment="1">
      <alignment horizontal="right"/>
    </xf>
    <xf numFmtId="170" fontId="2" fillId="0" borderId="4" xfId="701" applyNumberFormat="1" applyFont="1" applyFill="1" applyBorder="1" applyAlignment="1">
      <alignment horizontal="right"/>
    </xf>
    <xf numFmtId="166" fontId="2" fillId="0" borderId="5" xfId="701" applyNumberFormat="1" applyFont="1" applyFill="1" applyBorder="1"/>
    <xf numFmtId="165" fontId="2" fillId="0" borderId="0" xfId="701" applyNumberFormat="1" applyFont="1" applyBorder="1" applyAlignment="1">
      <alignment horizontal="center"/>
    </xf>
    <xf numFmtId="1" fontId="2" fillId="0" borderId="0" xfId="701" applyNumberFormat="1" applyFont="1" applyFill="1" applyAlignment="1" applyProtection="1">
      <alignment horizontal="right"/>
    </xf>
    <xf numFmtId="3" fontId="2" fillId="0" borderId="0" xfId="701" applyNumberFormat="1" applyFont="1" applyFill="1"/>
    <xf numFmtId="171" fontId="2" fillId="0" borderId="0" xfId="701" applyNumberFormat="1" applyFont="1" applyBorder="1"/>
    <xf numFmtId="172" fontId="2" fillId="0" borderId="0" xfId="701" applyNumberFormat="1" applyFont="1" applyAlignment="1">
      <alignment horizontal="center"/>
    </xf>
    <xf numFmtId="164" fontId="2" fillId="0" borderId="0" xfId="701" applyNumberFormat="1" applyFont="1" applyFill="1" applyBorder="1"/>
    <xf numFmtId="173" fontId="2" fillId="0" borderId="0" xfId="701" applyNumberFormat="1" applyFont="1" applyBorder="1"/>
    <xf numFmtId="9" fontId="2" fillId="0" borderId="0" xfId="701" applyNumberFormat="1" applyFont="1" applyFill="1" applyBorder="1" applyAlignment="1">
      <alignment horizontal="center"/>
    </xf>
    <xf numFmtId="0" fontId="2" fillId="0" borderId="0" xfId="701" quotePrefix="1" applyNumberFormat="1" applyFont="1" applyAlignment="1" applyProtection="1">
      <alignment horizontal="center"/>
    </xf>
    <xf numFmtId="166" fontId="2" fillId="0" borderId="0" xfId="701" applyNumberFormat="1" applyFont="1" applyAlignment="1" applyProtection="1">
      <alignment horizontal="center"/>
    </xf>
    <xf numFmtId="166" fontId="2" fillId="0" borderId="2" xfId="701" applyNumberFormat="1" applyFont="1" applyBorder="1" applyAlignment="1" applyProtection="1">
      <alignment horizontal="center"/>
    </xf>
    <xf numFmtId="38" fontId="2" fillId="0" borderId="1" xfId="701" applyNumberFormat="1" applyFont="1" applyFill="1" applyBorder="1" applyProtection="1"/>
    <xf numFmtId="166" fontId="2" fillId="0" borderId="0" xfId="701" applyNumberFormat="1" applyFont="1" applyBorder="1" applyAlignment="1" applyProtection="1">
      <alignment horizontal="center"/>
    </xf>
    <xf numFmtId="166" fontId="2" fillId="0" borderId="1" xfId="701" applyNumberFormat="1" applyFont="1" applyFill="1" applyBorder="1" applyProtection="1"/>
    <xf numFmtId="166" fontId="2" fillId="0" borderId="1" xfId="701" applyNumberFormat="1" applyFont="1" applyFill="1" applyBorder="1" applyAlignment="1" applyProtection="1">
      <alignment horizontal="center"/>
    </xf>
    <xf numFmtId="166" fontId="2" fillId="0" borderId="0" xfId="701" applyNumberFormat="1" applyFont="1" applyAlignment="1" applyProtection="1">
      <alignment horizontal="center"/>
    </xf>
    <xf numFmtId="166" fontId="2" fillId="0" borderId="1" xfId="701" applyNumberFormat="1" applyFont="1" applyBorder="1" applyProtection="1"/>
    <xf numFmtId="166" fontId="2" fillId="0" borderId="3" xfId="701" applyNumberFormat="1" applyFont="1" applyFill="1" applyBorder="1"/>
    <xf numFmtId="0" fontId="2" fillId="0" borderId="0" xfId="701" applyNumberFormat="1" applyFont="1" applyAlignment="1"/>
    <xf numFmtId="38" fontId="2" fillId="0" borderId="2" xfId="701" applyNumberFormat="1" applyFont="1" applyFill="1" applyBorder="1" applyProtection="1"/>
    <xf numFmtId="166" fontId="2" fillId="0" borderId="2" xfId="701" applyNumberFormat="1" applyFont="1" applyFill="1" applyBorder="1" applyAlignment="1" applyProtection="1">
      <alignment horizontal="center"/>
    </xf>
    <xf numFmtId="38" fontId="2" fillId="0" borderId="0" xfId="701" applyNumberFormat="1" applyFont="1" applyFill="1" applyBorder="1" applyProtection="1"/>
    <xf numFmtId="166" fontId="2" fillId="0" borderId="3" xfId="701" applyNumberFormat="1" applyFont="1" applyBorder="1" applyProtection="1"/>
    <xf numFmtId="0" fontId="2" fillId="0" borderId="0" xfId="701" applyNumberFormat="1" applyFont="1" applyAlignment="1" applyProtection="1">
      <alignment horizontal="left" indent="2"/>
    </xf>
    <xf numFmtId="38" fontId="2" fillId="0" borderId="7" xfId="701" applyNumberFormat="1" applyFont="1" applyFill="1" applyBorder="1" applyProtection="1"/>
    <xf numFmtId="37" fontId="2" fillId="0" borderId="0" xfId="701" applyNumberFormat="1" applyFont="1" applyAlignment="1">
      <alignment horizontal="center" vertical="center"/>
    </xf>
    <xf numFmtId="37" fontId="2" fillId="0" borderId="0" xfId="701" applyNumberFormat="1" applyFont="1" applyAlignment="1">
      <alignment horizontal="left" vertical="center"/>
    </xf>
    <xf numFmtId="166" fontId="2" fillId="0" borderId="0" xfId="701" applyNumberFormat="1" applyFont="1" applyAlignment="1">
      <alignment horizontal="center" vertical="center"/>
    </xf>
    <xf numFmtId="37" fontId="2" fillId="0" borderId="5" xfId="701" applyNumberFormat="1" applyFont="1" applyBorder="1" applyAlignment="1">
      <alignment horizontal="center" vertical="center"/>
    </xf>
    <xf numFmtId="166" fontId="2" fillId="0" borderId="5" xfId="701" applyNumberFormat="1" applyFont="1" applyBorder="1" applyAlignment="1">
      <alignment horizontal="center" vertical="center"/>
    </xf>
    <xf numFmtId="37" fontId="2" fillId="0" borderId="0" xfId="701" applyNumberFormat="1" applyFont="1" applyAlignment="1">
      <alignment horizontal="justify" vertical="center" wrapText="1"/>
    </xf>
    <xf numFmtId="37" fontId="2" fillId="0" borderId="0" xfId="701" applyNumberFormat="1" applyFont="1" applyAlignment="1">
      <alignment horizontal="center" vertical="center" wrapText="1"/>
    </xf>
    <xf numFmtId="38" fontId="2" fillId="0" borderId="0" xfId="701" applyNumberFormat="1" applyFont="1" applyFill="1" applyBorder="1" applyAlignment="1" applyProtection="1">
      <alignment horizontal="right" vertical="center"/>
    </xf>
    <xf numFmtId="38" fontId="2" fillId="0" borderId="5" xfId="701" applyNumberFormat="1" applyFont="1" applyFill="1" applyBorder="1" applyAlignment="1" applyProtection="1">
      <alignment horizontal="right" vertical="center"/>
    </xf>
    <xf numFmtId="37" fontId="2" fillId="0" borderId="0" xfId="701" applyNumberFormat="1" applyFont="1" applyAlignment="1" applyProtection="1"/>
    <xf numFmtId="166" fontId="2" fillId="0" borderId="7" xfId="701" applyNumberFormat="1" applyFont="1" applyFill="1" applyBorder="1"/>
    <xf numFmtId="0" fontId="2" fillId="0" borderId="0" xfId="701" applyNumberFormat="1" applyFont="1" applyAlignment="1" applyProtection="1">
      <alignment horizontal="left" vertical="center" wrapText="1"/>
    </xf>
    <xf numFmtId="37" fontId="2" fillId="0" borderId="0" xfId="701" applyNumberFormat="1" applyFont="1" applyFill="1" applyAlignment="1" applyProtection="1">
      <alignment horizontal="right"/>
    </xf>
    <xf numFmtId="174" fontId="2" fillId="0" borderId="0" xfId="701" applyNumberFormat="1" applyFont="1" applyAlignment="1">
      <alignment horizontal="center"/>
    </xf>
    <xf numFmtId="37" fontId="2" fillId="0" borderId="0" xfId="701" applyNumberFormat="1" applyFont="1" applyAlignment="1">
      <alignment horizontal="right" vertical="top" wrapText="1"/>
    </xf>
    <xf numFmtId="37" fontId="2" fillId="0" borderId="4" xfId="701" applyNumberFormat="1" applyFont="1" applyBorder="1" applyAlignment="1">
      <alignment horizontal="right" vertical="top" wrapText="1"/>
    </xf>
    <xf numFmtId="39" fontId="2" fillId="0" borderId="7" xfId="701" applyNumberFormat="1" applyFont="1" applyBorder="1" applyAlignment="1">
      <alignment horizontal="right" vertical="top" wrapText="1"/>
    </xf>
    <xf numFmtId="165" fontId="2" fillId="0" borderId="7" xfId="701" applyNumberFormat="1" applyFont="1" applyBorder="1" applyAlignment="1">
      <alignment horizontal="right" vertical="top" wrapText="1"/>
    </xf>
    <xf numFmtId="39" fontId="2" fillId="0" borderId="0" xfId="701" applyNumberFormat="1" applyFont="1" applyAlignment="1">
      <alignment horizontal="right" vertical="top" wrapText="1"/>
    </xf>
    <xf numFmtId="39" fontId="2" fillId="0" borderId="0" xfId="701" applyNumberFormat="1" applyFont="1" applyAlignment="1">
      <alignment horizontal="center" vertical="top" wrapText="1"/>
    </xf>
    <xf numFmtId="39" fontId="2" fillId="0" borderId="4" xfId="701" applyNumberFormat="1" applyFont="1" applyBorder="1" applyAlignment="1">
      <alignment horizontal="center" vertical="top" wrapText="1"/>
    </xf>
    <xf numFmtId="9" fontId="2" fillId="0" borderId="4" xfId="701" applyNumberFormat="1" applyFont="1" applyBorder="1" applyAlignment="1">
      <alignment horizontal="center" vertical="top" wrapText="1"/>
    </xf>
    <xf numFmtId="165" fontId="2" fillId="0" borderId="4" xfId="701" applyNumberFormat="1" applyFont="1" applyBorder="1" applyAlignment="1">
      <alignment vertical="top" wrapText="1"/>
    </xf>
    <xf numFmtId="165" fontId="2" fillId="0" borderId="4" xfId="701" applyNumberFormat="1" applyFont="1" applyBorder="1" applyAlignment="1">
      <alignment horizontal="right" vertical="top" wrapText="1"/>
    </xf>
    <xf numFmtId="37" fontId="2" fillId="0" borderId="5" xfId="701" applyNumberFormat="1" applyFont="1" applyBorder="1" applyAlignment="1">
      <alignment horizontal="right" vertical="top" wrapText="1"/>
    </xf>
    <xf numFmtId="37" fontId="2" fillId="0" borderId="7" xfId="701" applyNumberFormat="1" applyFont="1" applyBorder="1" applyAlignment="1">
      <alignment horizontal="center" vertical="top" wrapText="1"/>
    </xf>
    <xf numFmtId="165" fontId="2" fillId="0" borderId="7" xfId="701" applyNumberFormat="1" applyFont="1" applyBorder="1" applyAlignment="1">
      <alignment horizontal="center" vertical="top" wrapText="1"/>
    </xf>
    <xf numFmtId="37" fontId="2" fillId="0" borderId="2" xfId="701" applyNumberFormat="1" applyFont="1" applyBorder="1"/>
    <xf numFmtId="37" fontId="2" fillId="0" borderId="1" xfId="701" applyNumberFormat="1" applyFont="1" applyBorder="1"/>
    <xf numFmtId="37" fontId="2" fillId="3" borderId="2" xfId="701" applyNumberFormat="1" applyFont="1" applyFill="1" applyBorder="1"/>
    <xf numFmtId="0" fontId="2" fillId="0" borderId="0" xfId="701" applyNumberFormat="1" applyFont="1"/>
    <xf numFmtId="166" fontId="2" fillId="0" borderId="0" xfId="701" applyNumberFormat="1" applyFont="1" applyAlignment="1">
      <alignment horizontal="right"/>
    </xf>
    <xf numFmtId="0" fontId="2" fillId="0" borderId="0" xfId="701" quotePrefix="1" applyNumberFormat="1" applyFont="1"/>
    <xf numFmtId="165" fontId="2" fillId="0" borderId="0" xfId="701" applyNumberFormat="1" applyFont="1"/>
    <xf numFmtId="165" fontId="2" fillId="0" borderId="4" xfId="701" applyNumberFormat="1" applyFont="1" applyBorder="1"/>
    <xf numFmtId="0" fontId="2" fillId="0" borderId="4" xfId="701" applyNumberFormat="1" applyFont="1" applyBorder="1"/>
    <xf numFmtId="10" fontId="2" fillId="0" borderId="0" xfId="701" applyNumberFormat="1" applyFont="1"/>
    <xf numFmtId="37" fontId="2" fillId="0" borderId="4" xfId="701" applyNumberFormat="1" applyFont="1" applyBorder="1"/>
    <xf numFmtId="166" fontId="2" fillId="0" borderId="0" xfId="701" applyNumberFormat="1" applyFont="1"/>
    <xf numFmtId="1" fontId="2" fillId="0" borderId="0" xfId="701" applyNumberFormat="1" applyFont="1" applyAlignment="1">
      <alignment horizontal="center" vertical="top" wrapText="1"/>
    </xf>
    <xf numFmtId="37" fontId="2" fillId="0" borderId="0" xfId="701" applyNumberFormat="1" applyFont="1" applyAlignment="1">
      <alignment horizontal="justify" vertical="top" wrapText="1"/>
    </xf>
    <xf numFmtId="37" fontId="2" fillId="0" borderId="0" xfId="701" applyNumberFormat="1" applyFont="1" applyFill="1" applyAlignment="1">
      <alignment horizontal="right"/>
    </xf>
    <xf numFmtId="175" fontId="2" fillId="0" borderId="8" xfId="701" applyNumberFormat="1" applyFont="1" applyFill="1" applyBorder="1" applyAlignment="1" applyProtection="1">
      <alignment horizontal="center"/>
    </xf>
    <xf numFmtId="37" fontId="2" fillId="0" borderId="0" xfId="701" applyNumberFormat="1" applyFont="1" applyFill="1" applyAlignment="1">
      <alignment vertical="top" wrapText="1"/>
    </xf>
    <xf numFmtId="37" fontId="2" fillId="0" borderId="0" xfId="701" applyNumberFormat="1" applyFont="1" applyFill="1" applyAlignment="1">
      <alignment horizontal="justify" vertical="top" wrapText="1"/>
    </xf>
    <xf numFmtId="166" fontId="2" fillId="2" borderId="0" xfId="701" applyNumberFormat="1" applyFont="1" applyFill="1" applyAlignment="1">
      <alignment horizontal="center"/>
    </xf>
    <xf numFmtId="0" fontId="2" fillId="0" borderId="0" xfId="701" applyNumberFormat="1" applyFont="1" applyAlignment="1">
      <alignment horizontal="center" vertical="center" wrapText="1"/>
    </xf>
    <xf numFmtId="1" fontId="2" fillId="2" borderId="0" xfId="701" applyNumberFormat="1" applyFont="1" applyFill="1" applyAlignment="1">
      <alignment horizontal="center"/>
    </xf>
    <xf numFmtId="166" fontId="2" fillId="2" borderId="4" xfId="701" applyNumberFormat="1" applyFont="1" applyFill="1" applyBorder="1"/>
    <xf numFmtId="170" fontId="2" fillId="0" borderId="0" xfId="701" applyNumberFormat="1" applyFont="1" applyFill="1" applyBorder="1" applyAlignment="1">
      <alignment horizontal="right"/>
    </xf>
    <xf numFmtId="166" fontId="2" fillId="2" borderId="6" xfId="701" applyNumberFormat="1" applyFont="1" applyFill="1" applyBorder="1"/>
    <xf numFmtId="170" fontId="2" fillId="2" borderId="4" xfId="701" applyNumberFormat="1" applyFont="1" applyFill="1" applyBorder="1" applyAlignment="1">
      <alignment horizontal="right"/>
    </xf>
    <xf numFmtId="166" fontId="2" fillId="2" borderId="5" xfId="701" applyNumberFormat="1" applyFont="1" applyFill="1" applyBorder="1"/>
    <xf numFmtId="3" fontId="2" fillId="2" borderId="1" xfId="701" applyNumberFormat="1" applyFont="1" applyFill="1" applyBorder="1"/>
    <xf numFmtId="37" fontId="2" fillId="2" borderId="7" xfId="701" applyNumberFormat="1" applyFont="1" applyFill="1" applyBorder="1"/>
    <xf numFmtId="37" fontId="2" fillId="2" borderId="0" xfId="701" applyNumberFormat="1" applyFont="1" applyFill="1" applyBorder="1"/>
    <xf numFmtId="0" fontId="2" fillId="0" borderId="0" xfId="701" applyNumberFormat="1" applyFont="1" applyFill="1" applyProtection="1"/>
    <xf numFmtId="0" fontId="2" fillId="0" borderId="0" xfId="701" applyNumberFormat="1" applyFont="1" applyFill="1" applyProtection="1"/>
    <xf numFmtId="37" fontId="2" fillId="0" borderId="0" xfId="701" quotePrefix="1" applyNumberFormat="1" applyFont="1" applyAlignment="1" applyProtection="1">
      <alignment horizontal="center"/>
    </xf>
    <xf numFmtId="166" fontId="2" fillId="2" borderId="0" xfId="701" applyNumberFormat="1" applyFont="1" applyFill="1" applyBorder="1" applyAlignment="1">
      <alignment horizontal="right"/>
    </xf>
    <xf numFmtId="165" fontId="2" fillId="2" borderId="1" xfId="701" applyNumberFormat="1" applyFont="1" applyFill="1" applyBorder="1" applyProtection="1"/>
    <xf numFmtId="38" fontId="2" fillId="2" borderId="7" xfId="701" applyNumberFormat="1" applyFont="1" applyFill="1" applyBorder="1" applyProtection="1"/>
    <xf numFmtId="37" fontId="2" fillId="0" borderId="0" xfId="701" applyNumberFormat="1" applyFont="1" applyFill="1" applyAlignment="1">
      <alignment horizontal="center" vertical="center"/>
    </xf>
    <xf numFmtId="37" fontId="2" fillId="2" borderId="0" xfId="701" applyNumberFormat="1" applyFont="1" applyFill="1" applyAlignment="1">
      <alignment horizontal="center" vertical="center"/>
    </xf>
    <xf numFmtId="37" fontId="2" fillId="0" borderId="0" xfId="701" applyNumberFormat="1" applyFont="1" applyFill="1" applyAlignment="1">
      <alignment horizontal="right" vertical="center"/>
    </xf>
    <xf numFmtId="166" fontId="2" fillId="2" borderId="0" xfId="701" applyNumberFormat="1" applyFont="1" applyFill="1" applyAlignment="1">
      <alignment horizontal="center" vertical="center"/>
    </xf>
    <xf numFmtId="165" fontId="2" fillId="0" borderId="0" xfId="701" applyNumberFormat="1" applyFont="1" applyFill="1" applyAlignment="1">
      <alignment horizontal="right" vertical="center"/>
    </xf>
    <xf numFmtId="166" fontId="2" fillId="0" borderId="5" xfId="701" applyNumberFormat="1" applyFont="1" applyFill="1" applyBorder="1" applyAlignment="1">
      <alignment horizontal="right" vertical="center"/>
    </xf>
    <xf numFmtId="37" fontId="2" fillId="2" borderId="5" xfId="701" applyNumberFormat="1" applyFont="1" applyFill="1" applyBorder="1" applyAlignment="1">
      <alignment horizontal="right" vertical="center"/>
    </xf>
    <xf numFmtId="1" fontId="2" fillId="0" borderId="8" xfId="701" applyNumberFormat="1" applyFont="1" applyFill="1" applyBorder="1" applyAlignment="1" applyProtection="1">
      <alignment horizontal="center"/>
    </xf>
    <xf numFmtId="37" fontId="2" fillId="0" borderId="7" xfId="701" quotePrefix="1" applyNumberFormat="1" applyFont="1" applyFill="1" applyBorder="1" applyAlignment="1" applyProtection="1"/>
    <xf numFmtId="166" fontId="2" fillId="2" borderId="7" xfId="701" applyNumberFormat="1" applyFont="1" applyFill="1" applyBorder="1"/>
    <xf numFmtId="1" fontId="2" fillId="2" borderId="0" xfId="701" applyNumberFormat="1" applyFont="1" applyFill="1" applyAlignment="1" applyProtection="1">
      <alignment horizontal="center"/>
    </xf>
    <xf numFmtId="166" fontId="2" fillId="2" borderId="2" xfId="701" applyNumberFormat="1" applyFont="1" applyFill="1" applyBorder="1" applyAlignment="1" applyProtection="1">
      <alignment horizontal="center"/>
    </xf>
    <xf numFmtId="166" fontId="2" fillId="2" borderId="1" xfId="701" applyNumberFormat="1" applyFont="1" applyFill="1" applyBorder="1" applyAlignment="1" applyProtection="1">
      <alignment horizontal="center"/>
    </xf>
    <xf numFmtId="166" fontId="2" fillId="0" borderId="1" xfId="701" applyNumberFormat="1" applyFont="1" applyBorder="1" applyAlignment="1" applyProtection="1">
      <alignment horizontal="center"/>
    </xf>
    <xf numFmtId="37" fontId="2" fillId="0" borderId="1" xfId="701" applyNumberFormat="1" applyFont="1" applyFill="1" applyBorder="1" applyAlignment="1" applyProtection="1">
      <alignment horizontal="right"/>
    </xf>
    <xf numFmtId="37" fontId="2" fillId="0" borderId="0" xfId="701" applyNumberFormat="1" applyFont="1" applyFill="1" applyBorder="1" applyAlignment="1" applyProtection="1">
      <alignment horizontal="left"/>
    </xf>
    <xf numFmtId="166" fontId="2" fillId="2" borderId="3" xfId="701" applyNumberFormat="1" applyFont="1" applyFill="1" applyBorder="1" applyAlignment="1" applyProtection="1">
      <alignment horizontal="center"/>
    </xf>
    <xf numFmtId="166" fontId="2" fillId="0" borderId="3" xfId="701" applyNumberFormat="1" applyFont="1" applyBorder="1" applyAlignment="1" applyProtection="1">
      <alignment horizontal="center"/>
    </xf>
    <xf numFmtId="166" fontId="2" fillId="2" borderId="5" xfId="701" applyNumberFormat="1" applyFont="1" applyFill="1" applyBorder="1" applyAlignment="1" applyProtection="1">
      <alignment horizontal="center"/>
    </xf>
    <xf numFmtId="166" fontId="2" fillId="2" borderId="0" xfId="701" applyNumberFormat="1" applyFont="1" applyFill="1" applyBorder="1" applyAlignment="1" applyProtection="1">
      <alignment horizontal="center"/>
    </xf>
    <xf numFmtId="165" fontId="2" fillId="0" borderId="3" xfId="701" applyNumberFormat="1" applyFont="1" applyBorder="1"/>
    <xf numFmtId="37" fontId="2" fillId="2" borderId="0" xfId="701" applyNumberFormat="1" applyFont="1" applyFill="1" applyAlignment="1">
      <alignment horizontal="justify" vertical="top" wrapText="1"/>
    </xf>
    <xf numFmtId="165" fontId="2" fillId="2" borderId="7" xfId="701" applyNumberFormat="1" applyFont="1" applyFill="1" applyBorder="1" applyAlignment="1">
      <alignment horizontal="right" vertical="top" wrapText="1"/>
    </xf>
    <xf numFmtId="37" fontId="2" fillId="0" borderId="0" xfId="701" applyNumberFormat="1" applyFont="1" applyFill="1" applyAlignment="1">
      <alignment horizontal="center" vertical="top" wrapText="1"/>
    </xf>
    <xf numFmtId="37" fontId="2" fillId="2" borderId="0" xfId="701" applyNumberFormat="1" applyFont="1" applyFill="1" applyAlignment="1">
      <alignment horizontal="center"/>
    </xf>
    <xf numFmtId="37" fontId="2" fillId="2" borderId="0" xfId="701" applyNumberFormat="1" applyFont="1" applyFill="1" applyAlignment="1">
      <alignment horizontal="center" vertical="top" wrapText="1"/>
    </xf>
    <xf numFmtId="39" fontId="2" fillId="0" borderId="0" xfId="701" applyNumberFormat="1" applyFont="1" applyFill="1" applyAlignment="1">
      <alignment horizontal="center" vertical="top" wrapText="1"/>
    </xf>
    <xf numFmtId="9" fontId="2" fillId="0" borderId="0" xfId="701" applyNumberFormat="1" applyFont="1" applyBorder="1" applyAlignment="1">
      <alignment horizontal="center" vertical="top" wrapText="1"/>
    </xf>
    <xf numFmtId="39" fontId="2" fillId="0" borderId="4" xfId="701" applyNumberFormat="1" applyFont="1" applyFill="1" applyBorder="1" applyAlignment="1">
      <alignment horizontal="center" vertical="top" wrapText="1"/>
    </xf>
    <xf numFmtId="9" fontId="2" fillId="2" borderId="4" xfId="701" applyNumberFormat="1" applyFont="1" applyFill="1" applyBorder="1" applyAlignment="1">
      <alignment horizontal="center" vertical="top" wrapText="1"/>
    </xf>
    <xf numFmtId="37" fontId="2" fillId="0" borderId="0" xfId="701" applyNumberFormat="1" applyFont="1" applyBorder="1" applyAlignment="1">
      <alignment horizontal="justify" vertical="top" wrapText="1"/>
    </xf>
    <xf numFmtId="37" fontId="2" fillId="2" borderId="0" xfId="701" applyNumberFormat="1" applyFont="1" applyFill="1" applyAlignment="1">
      <alignment horizontal="right" vertical="top" wrapText="1"/>
    </xf>
    <xf numFmtId="165" fontId="2" fillId="0" borderId="4" xfId="701" applyNumberFormat="1" applyFont="1" applyFill="1" applyBorder="1" applyAlignment="1">
      <alignment vertical="top" wrapText="1"/>
    </xf>
    <xf numFmtId="166" fontId="2" fillId="2" borderId="4" xfId="701" applyNumberFormat="1" applyFont="1" applyFill="1" applyBorder="1" applyAlignment="1">
      <alignment horizontal="right" vertical="top" wrapText="1"/>
    </xf>
    <xf numFmtId="37" fontId="2" fillId="0" borderId="5" xfId="701" applyNumberFormat="1" applyFont="1" applyFill="1" applyBorder="1" applyAlignment="1">
      <alignment horizontal="right" vertical="top" wrapText="1"/>
    </xf>
    <xf numFmtId="37" fontId="2" fillId="2" borderId="5" xfId="701" applyNumberFormat="1" applyFont="1" applyFill="1" applyBorder="1" applyAlignment="1">
      <alignment horizontal="right" vertical="top" wrapText="1"/>
    </xf>
    <xf numFmtId="37" fontId="2" fillId="0" borderId="0" xfId="701" applyNumberFormat="1" applyFont="1" applyFill="1" applyBorder="1" applyAlignment="1">
      <alignment horizontal="right" vertical="top" wrapText="1"/>
    </xf>
    <xf numFmtId="37" fontId="2" fillId="2" borderId="0" xfId="701" applyNumberFormat="1" applyFont="1" applyFill="1" applyBorder="1" applyAlignment="1">
      <alignment horizontal="right" vertical="top" wrapText="1"/>
    </xf>
    <xf numFmtId="0" fontId="2" fillId="0" borderId="0" xfId="701" applyNumberFormat="1" applyFont="1" applyFill="1" applyAlignment="1">
      <alignment horizontal="justify" vertical="top" wrapText="1"/>
    </xf>
    <xf numFmtId="0" fontId="2" fillId="2" borderId="0" xfId="701" applyNumberFormat="1" applyFont="1" applyFill="1" applyAlignment="1">
      <alignment horizontal="justify" vertical="top" wrapText="1"/>
    </xf>
    <xf numFmtId="37" fontId="2" fillId="2" borderId="7" xfId="701" applyNumberFormat="1" applyFont="1" applyFill="1" applyBorder="1" applyAlignment="1">
      <alignment horizontal="right" vertical="top" wrapText="1"/>
    </xf>
    <xf numFmtId="37" fontId="2" fillId="2" borderId="0" xfId="701" applyNumberFormat="1" applyFont="1" applyFill="1" applyBorder="1" applyAlignment="1">
      <alignment horizontal="center" vertical="top" wrapText="1"/>
    </xf>
    <xf numFmtId="165" fontId="2" fillId="0" borderId="7" xfId="701" applyNumberFormat="1" applyFont="1" applyFill="1" applyBorder="1" applyAlignment="1">
      <alignment horizontal="right" vertical="top" wrapText="1"/>
    </xf>
    <xf numFmtId="165" fontId="2" fillId="0" borderId="1" xfId="701" applyNumberFormat="1" applyFont="1" applyBorder="1"/>
    <xf numFmtId="165" fontId="2" fillId="2" borderId="4" xfId="701" applyNumberFormat="1" applyFont="1" applyFill="1" applyBorder="1"/>
    <xf numFmtId="37" fontId="2" fillId="0" borderId="0" xfId="701" applyNumberFormat="1" applyFont="1" applyBorder="1" applyAlignment="1">
      <alignment horizontal="center"/>
    </xf>
    <xf numFmtId="166" fontId="2" fillId="0" borderId="4" xfId="701" applyNumberFormat="1" applyFont="1" applyFill="1" applyBorder="1"/>
    <xf numFmtId="38" fontId="2" fillId="0" borderId="0" xfId="701" applyNumberFormat="1" applyFont="1" applyFill="1" applyAlignment="1"/>
    <xf numFmtId="37" fontId="2" fillId="0" borderId="9" xfId="701" applyNumberFormat="1" applyFont="1" applyFill="1" applyBorder="1"/>
    <xf numFmtId="165" fontId="2" fillId="0" borderId="0" xfId="701" applyNumberFormat="1" applyFont="1" applyFill="1" applyBorder="1"/>
    <xf numFmtId="165" fontId="2" fillId="0" borderId="5" xfId="701" applyNumberFormat="1" applyFont="1" applyFill="1" applyBorder="1"/>
    <xf numFmtId="37" fontId="2" fillId="0" borderId="0" xfId="701" applyNumberFormat="1" applyFont="1" applyAlignment="1">
      <alignment wrapText="1"/>
    </xf>
    <xf numFmtId="166" fontId="2" fillId="0" borderId="4" xfId="701" applyNumberFormat="1" applyFont="1" applyFill="1" applyBorder="1"/>
    <xf numFmtId="165" fontId="2" fillId="0" borderId="0" xfId="701" applyNumberFormat="1" applyFont="1" applyFill="1"/>
    <xf numFmtId="165" fontId="2" fillId="0" borderId="4" xfId="701" applyNumberFormat="1" applyFont="1" applyFill="1" applyBorder="1"/>
    <xf numFmtId="37" fontId="2" fillId="2" borderId="6" xfId="701" applyNumberFormat="1" applyFont="1" applyFill="1" applyBorder="1"/>
    <xf numFmtId="166" fontId="2" fillId="0" borderId="1" xfId="701" applyNumberFormat="1" applyFont="1" applyFill="1" applyBorder="1" applyAlignment="1">
      <alignment horizontal="right"/>
    </xf>
    <xf numFmtId="166" fontId="2" fillId="2" borderId="2" xfId="701" applyNumberFormat="1" applyFont="1" applyFill="1" applyBorder="1" applyAlignment="1">
      <alignment horizontal="right"/>
    </xf>
    <xf numFmtId="165" fontId="2" fillId="0" borderId="0" xfId="701" applyNumberFormat="1" applyFont="1"/>
    <xf numFmtId="37" fontId="2" fillId="0" borderId="8" xfId="701" applyNumberFormat="1" applyFont="1" applyBorder="1" applyAlignment="1">
      <alignment horizontal="center"/>
    </xf>
    <xf numFmtId="0" fontId="2" fillId="0" borderId="0" xfId="701" applyNumberFormat="1" applyFont="1" applyAlignment="1">
      <alignment horizontal="left" wrapText="1"/>
    </xf>
    <xf numFmtId="0" fontId="2" fillId="0" borderId="0" xfId="701" applyNumberFormat="1" applyFont="1" applyAlignment="1">
      <alignment horizontal="left"/>
    </xf>
    <xf numFmtId="166" fontId="2" fillId="0" borderId="0" xfId="701" applyNumberFormat="1" applyFont="1" applyFill="1" applyBorder="1" applyAlignment="1" applyProtection="1">
      <alignment horizontal="right"/>
    </xf>
    <xf numFmtId="0" fontId="2" fillId="0" borderId="0" xfId="701" applyNumberFormat="1" applyFont="1" applyFill="1" applyAlignment="1">
      <alignment vertical="top"/>
    </xf>
    <xf numFmtId="0" fontId="2" fillId="0" borderId="0" xfId="701" applyNumberFormat="1" applyFont="1" applyFill="1" applyBorder="1" applyAlignment="1">
      <alignment horizontal="center"/>
    </xf>
    <xf numFmtId="0" fontId="2" fillId="0" borderId="0" xfId="701" applyNumberFormat="1" applyFont="1" applyFill="1" applyBorder="1"/>
    <xf numFmtId="166" fontId="2" fillId="0" borderId="10" xfId="701" applyNumberFormat="1" applyFont="1" applyFill="1" applyBorder="1" applyAlignment="1">
      <alignment horizontal="center" vertical="center" wrapText="1"/>
    </xf>
    <xf numFmtId="0" fontId="2" fillId="0" borderId="0" xfId="701" applyNumberFormat="1" applyFont="1" applyFill="1" applyBorder="1" applyAlignment="1">
      <alignment horizontal="center" vertical="center" wrapText="1"/>
    </xf>
    <xf numFmtId="166" fontId="2" fillId="0" borderId="11" xfId="701" applyNumberFormat="1" applyFont="1" applyFill="1" applyBorder="1" applyAlignment="1">
      <alignment horizontal="center" vertical="center" wrapText="1"/>
    </xf>
    <xf numFmtId="166" fontId="2" fillId="0" borderId="12" xfId="701" applyNumberFormat="1" applyFont="1" applyFill="1" applyBorder="1" applyAlignment="1">
      <alignment horizontal="center" vertical="center" wrapText="1"/>
    </xf>
    <xf numFmtId="0" fontId="2" fillId="0" borderId="13" xfId="701" applyNumberFormat="1" applyFont="1" applyFill="1" applyBorder="1" applyAlignment="1">
      <alignment horizontal="center"/>
    </xf>
    <xf numFmtId="0" fontId="2" fillId="2" borderId="3" xfId="701" applyNumberFormat="1" applyFont="1" applyFill="1" applyBorder="1" applyAlignment="1">
      <alignment horizontal="center"/>
    </xf>
    <xf numFmtId="0" fontId="2" fillId="0" borderId="14" xfId="701" applyNumberFormat="1" applyFont="1" applyFill="1" applyBorder="1" applyAlignment="1">
      <alignment horizontal="center"/>
    </xf>
    <xf numFmtId="0" fontId="2" fillId="0" borderId="2" xfId="701" applyNumberFormat="1" applyFont="1" applyFill="1" applyBorder="1" applyAlignment="1"/>
    <xf numFmtId="0" fontId="2" fillId="0" borderId="10" xfId="701" applyNumberFormat="1" applyFont="1" applyFill="1" applyBorder="1" applyAlignment="1"/>
    <xf numFmtId="0" fontId="2" fillId="0" borderId="15" xfId="701" applyNumberFormat="1" applyFont="1" applyFill="1" applyBorder="1" applyAlignment="1"/>
    <xf numFmtId="37" fontId="2" fillId="0" borderId="15" xfId="701" applyNumberFormat="1" applyFont="1" applyBorder="1"/>
    <xf numFmtId="0" fontId="2" fillId="0" borderId="2" xfId="701" applyNumberFormat="1" applyFont="1" applyFill="1" applyBorder="1" applyAlignment="1">
      <alignment horizontal="center"/>
    </xf>
    <xf numFmtId="0" fontId="2" fillId="0" borderId="15" xfId="701" applyNumberFormat="1" applyFont="1" applyFill="1" applyBorder="1" applyAlignment="1">
      <alignment horizontal="center"/>
    </xf>
    <xf numFmtId="166" fontId="2" fillId="0" borderId="2" xfId="701" applyNumberFormat="1" applyFont="1" applyFill="1" applyBorder="1" applyAlignment="1">
      <alignment horizontal="right"/>
    </xf>
    <xf numFmtId="0" fontId="2" fillId="0" borderId="10" xfId="701" applyNumberFormat="1" applyFont="1" applyFill="1" applyBorder="1"/>
    <xf numFmtId="166" fontId="2" fillId="0" borderId="15" xfId="701" applyNumberFormat="1" applyFont="1" applyFill="1" applyBorder="1" applyAlignment="1">
      <alignment horizontal="center"/>
    </xf>
    <xf numFmtId="166" fontId="2" fillId="2" borderId="2" xfId="701" applyNumberFormat="1" applyFont="1" applyFill="1" applyBorder="1" applyAlignment="1">
      <alignment horizontal="center"/>
    </xf>
    <xf numFmtId="166" fontId="2" fillId="0" borderId="2" xfId="701" applyNumberFormat="1" applyFont="1" applyFill="1" applyBorder="1" applyAlignment="1">
      <alignment horizontal="center"/>
    </xf>
    <xf numFmtId="166" fontId="2" fillId="0" borderId="1" xfId="701" applyNumberFormat="1" applyFont="1" applyFill="1" applyBorder="1" applyAlignment="1">
      <alignment horizontal="center"/>
    </xf>
    <xf numFmtId="0" fontId="2" fillId="0" borderId="1" xfId="701" applyNumberFormat="1" applyFont="1" applyFill="1" applyBorder="1" applyAlignment="1">
      <alignment horizontal="center"/>
    </xf>
    <xf numFmtId="0" fontId="2" fillId="0" borderId="16" xfId="701" applyNumberFormat="1" applyFont="1" applyFill="1" applyBorder="1" applyAlignment="1">
      <alignment horizontal="center"/>
    </xf>
    <xf numFmtId="0" fontId="2" fillId="0" borderId="11" xfId="701" applyNumberFormat="1" applyFont="1" applyFill="1" applyBorder="1"/>
    <xf numFmtId="166" fontId="2" fillId="0" borderId="16" xfId="701" applyNumberFormat="1" applyFont="1" applyFill="1" applyBorder="1" applyAlignment="1">
      <alignment horizontal="center"/>
    </xf>
    <xf numFmtId="0" fontId="2" fillId="0" borderId="11" xfId="701" applyNumberFormat="1" applyFont="1" applyFill="1" applyBorder="1" applyAlignment="1"/>
    <xf numFmtId="0" fontId="2" fillId="0" borderId="16" xfId="701" applyNumberFormat="1" applyFont="1" applyFill="1" applyBorder="1" applyAlignment="1"/>
    <xf numFmtId="37" fontId="2" fillId="0" borderId="16" xfId="701" applyNumberFormat="1" applyFont="1" applyBorder="1"/>
    <xf numFmtId="175" fontId="2" fillId="0" borderId="1" xfId="701" applyNumberFormat="1" applyFont="1" applyFill="1" applyBorder="1" applyAlignment="1">
      <alignment horizontal="center"/>
    </xf>
    <xf numFmtId="37" fontId="2" fillId="0" borderId="1" xfId="701" applyNumberFormat="1" applyFont="1" applyFill="1" applyBorder="1" applyAlignment="1">
      <alignment horizontal="center"/>
    </xf>
    <xf numFmtId="37" fontId="2" fillId="0" borderId="0" xfId="701" applyNumberFormat="1" applyFont="1" applyFill="1" applyBorder="1" applyAlignment="1">
      <alignment horizontal="center"/>
    </xf>
    <xf numFmtId="166" fontId="2" fillId="2" borderId="1" xfId="701" applyNumberFormat="1" applyFont="1" applyFill="1" applyBorder="1" applyAlignment="1">
      <alignment horizontal="center"/>
    </xf>
    <xf numFmtId="15" fontId="2" fillId="0" borderId="1" xfId="701" applyNumberFormat="1" applyFont="1" applyFill="1" applyBorder="1" applyAlignment="1">
      <alignment horizontal="center"/>
    </xf>
    <xf numFmtId="166" fontId="2" fillId="0" borderId="3" xfId="701" applyNumberFormat="1" applyFont="1" applyFill="1" applyBorder="1" applyAlignment="1">
      <alignment horizontal="center"/>
    </xf>
    <xf numFmtId="0" fontId="2" fillId="0" borderId="9" xfId="701" applyNumberFormat="1" applyFont="1" applyFill="1" applyBorder="1" applyAlignment="1">
      <alignment horizontal="center" vertical="center" wrapText="1"/>
    </xf>
    <xf numFmtId="0" fontId="2" fillId="0" borderId="14" xfId="701" applyNumberFormat="1" applyFont="1" applyFill="1" applyBorder="1"/>
    <xf numFmtId="166" fontId="2" fillId="0" borderId="17" xfId="701" applyNumberFormat="1" applyFont="1" applyFill="1" applyBorder="1" applyAlignment="1">
      <alignment horizontal="right"/>
    </xf>
    <xf numFmtId="166" fontId="2" fillId="0" borderId="15" xfId="701" applyNumberFormat="1" applyFont="1" applyFill="1" applyBorder="1" applyAlignment="1">
      <alignment horizontal="right"/>
    </xf>
    <xf numFmtId="166" fontId="2" fillId="2" borderId="8" xfId="701" applyNumberFormat="1" applyFont="1" applyFill="1" applyBorder="1" applyAlignment="1">
      <alignment horizontal="right"/>
    </xf>
    <xf numFmtId="0" fontId="2" fillId="0" borderId="5" xfId="701" applyNumberFormat="1" applyFont="1" applyFill="1" applyBorder="1"/>
    <xf numFmtId="165" fontId="2" fillId="0" borderId="5" xfId="701" applyNumberFormat="1" applyFont="1" applyFill="1" applyBorder="1" applyAlignment="1">
      <alignment horizontal="right"/>
    </xf>
    <xf numFmtId="165" fontId="2" fillId="2" borderId="5" xfId="701" applyNumberFormat="1" applyFont="1" applyFill="1" applyBorder="1" applyAlignment="1">
      <alignment horizontal="right"/>
    </xf>
    <xf numFmtId="165" fontId="2" fillId="0" borderId="0" xfId="701" applyNumberFormat="1" applyFont="1" applyFill="1" applyBorder="1" applyAlignment="1">
      <alignment horizontal="right"/>
    </xf>
    <xf numFmtId="165" fontId="2" fillId="0" borderId="0" xfId="701" applyNumberFormat="1" applyFont="1" applyFill="1" applyAlignment="1">
      <alignment horizontal="justify" vertical="top" wrapText="1"/>
    </xf>
    <xf numFmtId="37" fontId="2" fillId="3" borderId="0" xfId="701" applyNumberFormat="1" applyFont="1" applyFill="1" applyBorder="1"/>
    <xf numFmtId="10" fontId="2" fillId="0" borderId="0" xfId="701" applyNumberFormat="1" applyFont="1" applyAlignment="1">
      <alignment horizontal="center"/>
    </xf>
    <xf numFmtId="166" fontId="2" fillId="0" borderId="16" xfId="701" applyNumberFormat="1" applyFont="1" applyBorder="1" applyAlignment="1" applyProtection="1">
      <alignment horizontal="center"/>
    </xf>
    <xf numFmtId="166" fontId="2" fillId="0" borderId="0" xfId="701" applyNumberFormat="1" applyFont="1" applyBorder="1" applyAlignment="1" applyProtection="1"/>
    <xf numFmtId="166" fontId="2" fillId="0" borderId="8" xfId="701" applyNumberFormat="1" applyFont="1" applyFill="1" applyBorder="1" applyAlignment="1" applyProtection="1">
      <alignment horizontal="center" vertical="center" wrapText="1"/>
    </xf>
    <xf numFmtId="166" fontId="2" fillId="0" borderId="17" xfId="701" applyNumberFormat="1" applyFont="1" applyFill="1" applyBorder="1" applyAlignment="1" applyProtection="1">
      <alignment horizontal="center" vertical="center" wrapText="1"/>
    </xf>
    <xf numFmtId="166" fontId="2" fillId="0" borderId="16" xfId="701" applyNumberFormat="1" applyFont="1" applyFill="1" applyBorder="1" applyAlignment="1" applyProtection="1">
      <alignment horizontal="center" vertical="center" wrapText="1"/>
    </xf>
    <xf numFmtId="166" fontId="2" fillId="0" borderId="0" xfId="701" applyNumberFormat="1" applyFont="1" applyBorder="1" applyAlignment="1" applyProtection="1">
      <alignment horizontal="center" vertical="center" wrapText="1"/>
    </xf>
    <xf numFmtId="0" fontId="2" fillId="0" borderId="0" xfId="701" applyNumberFormat="1" applyFont="1" applyBorder="1" applyAlignment="1">
      <alignment horizontal="center" vertical="center" wrapText="1"/>
    </xf>
    <xf numFmtId="10" fontId="2" fillId="0" borderId="0" xfId="701" applyNumberFormat="1" applyFont="1" applyBorder="1" applyAlignment="1">
      <alignment horizontal="center"/>
    </xf>
    <xf numFmtId="0" fontId="2" fillId="0" borderId="0" xfId="701" applyNumberFormat="1" applyFont="1" applyAlignment="1">
      <alignment horizontal="left"/>
    </xf>
    <xf numFmtId="0" fontId="2" fillId="0" borderId="0" xfId="701" applyNumberFormat="1" applyFont="1" applyBorder="1" applyAlignment="1">
      <alignment horizontal="left" vertical="center" wrapText="1"/>
    </xf>
    <xf numFmtId="166" fontId="2" fillId="0" borderId="0" xfId="701" applyNumberFormat="1" applyFont="1" applyBorder="1" applyAlignment="1">
      <alignment horizontal="right" vertical="center" wrapText="1"/>
    </xf>
    <xf numFmtId="0" fontId="2" fillId="0" borderId="0" xfId="701" applyNumberFormat="1" applyFont="1" applyBorder="1" applyAlignment="1">
      <alignment horizontal="right" vertical="center" wrapText="1"/>
    </xf>
    <xf numFmtId="166" fontId="2" fillId="0" borderId="0" xfId="701" applyNumberFormat="1" applyFont="1" applyBorder="1" applyAlignment="1" applyProtection="1">
      <alignment horizontal="right" vertical="center" wrapText="1"/>
    </xf>
    <xf numFmtId="166" fontId="2" fillId="0" borderId="0" xfId="701" applyNumberFormat="1" applyFont="1" applyAlignment="1">
      <alignment horizontal="left"/>
    </xf>
    <xf numFmtId="9" fontId="2" fillId="0" borderId="0" xfId="701" applyNumberFormat="1" applyFont="1" applyBorder="1" applyAlignment="1">
      <alignment horizontal="center"/>
    </xf>
    <xf numFmtId="166" fontId="2" fillId="0" borderId="0" xfId="701" applyNumberFormat="1" applyFont="1" applyBorder="1" applyAlignment="1" applyProtection="1">
      <alignment horizontal="left" vertical="center" wrapText="1"/>
    </xf>
    <xf numFmtId="166" fontId="2" fillId="0" borderId="0" xfId="701" applyNumberFormat="1" applyFont="1" applyFill="1" applyBorder="1" applyAlignment="1">
      <alignment horizontal="right" vertical="center" wrapText="1"/>
    </xf>
    <xf numFmtId="166" fontId="2" fillId="0" borderId="0" xfId="701" applyNumberFormat="1" applyFont="1" applyBorder="1" applyAlignment="1">
      <alignment horizontal="right"/>
    </xf>
    <xf numFmtId="166" fontId="2" fillId="0" borderId="0" xfId="701" applyNumberFormat="1" applyFont="1" applyBorder="1" applyAlignment="1">
      <alignment horizontal="left"/>
    </xf>
    <xf numFmtId="166" fontId="2" fillId="0" borderId="0" xfId="701" applyNumberFormat="1" applyFont="1" applyBorder="1" applyAlignment="1" applyProtection="1">
      <alignment horizontal="right"/>
    </xf>
    <xf numFmtId="9" fontId="2" fillId="0" borderId="0" xfId="701" applyNumberFormat="1" applyFont="1" applyBorder="1" applyAlignment="1" applyProtection="1">
      <alignment horizontal="center"/>
    </xf>
    <xf numFmtId="166" fontId="2" fillId="0" borderId="0" xfId="701" applyNumberFormat="1" applyFont="1" applyBorder="1" applyAlignment="1" applyProtection="1">
      <alignment horizontal="left"/>
    </xf>
    <xf numFmtId="0" fontId="2" fillId="0" borderId="5" xfId="701" applyNumberFormat="1" applyFont="1" applyBorder="1" applyAlignment="1">
      <alignment horizontal="left"/>
    </xf>
    <xf numFmtId="0" fontId="2" fillId="0" borderId="5" xfId="701" applyNumberFormat="1" applyFont="1" applyBorder="1" applyAlignment="1">
      <alignment horizontal="center"/>
    </xf>
    <xf numFmtId="0" fontId="2" fillId="0" borderId="5" xfId="701" applyNumberFormat="1" applyFont="1" applyBorder="1" applyAlignment="1" applyProtection="1">
      <alignment horizontal="left"/>
    </xf>
    <xf numFmtId="166" fontId="2" fillId="0" borderId="5" xfId="701" applyNumberFormat="1" applyFont="1" applyFill="1" applyBorder="1" applyAlignment="1">
      <alignment horizontal="left"/>
    </xf>
    <xf numFmtId="10" fontId="2" fillId="0" borderId="5" xfId="701" applyNumberFormat="1" applyFont="1" applyBorder="1" applyAlignment="1">
      <alignment horizontal="left"/>
    </xf>
    <xf numFmtId="166" fontId="2" fillId="0" borderId="5" xfId="701" applyNumberFormat="1" applyFont="1" applyBorder="1" applyAlignment="1" applyProtection="1">
      <alignment horizontal="left"/>
    </xf>
    <xf numFmtId="166" fontId="2" fillId="0" borderId="5" xfId="701" applyNumberFormat="1" applyFont="1" applyBorder="1" applyAlignment="1">
      <alignment horizontal="left"/>
    </xf>
    <xf numFmtId="0" fontId="2" fillId="0" borderId="5" xfId="701" applyNumberFormat="1" applyFont="1" applyBorder="1"/>
    <xf numFmtId="10" fontId="2" fillId="0" borderId="5" xfId="701" applyNumberFormat="1" applyFont="1" applyBorder="1" applyAlignment="1">
      <alignment horizontal="center"/>
    </xf>
    <xf numFmtId="166" fontId="2" fillId="0" borderId="5" xfId="701" applyNumberFormat="1" applyFont="1" applyBorder="1" applyAlignment="1">
      <alignment horizontal="right"/>
    </xf>
    <xf numFmtId="166" fontId="2" fillId="0" borderId="5" xfId="701" applyNumberFormat="1" applyFont="1" applyBorder="1" applyAlignment="1">
      <alignment horizontal="right"/>
    </xf>
    <xf numFmtId="0" fontId="2" fillId="0" borderId="0" xfId="701" applyNumberFormat="1" applyFont="1" applyFill="1" applyBorder="1"/>
    <xf numFmtId="0" fontId="2" fillId="0" borderId="0" xfId="701" applyNumberFormat="1" applyFont="1" applyAlignment="1"/>
    <xf numFmtId="0" fontId="2" fillId="0" borderId="3" xfId="701" applyNumberFormat="1" applyFont="1" applyFill="1" applyBorder="1" applyAlignment="1">
      <alignment horizontal="center"/>
    </xf>
    <xf numFmtId="37" fontId="2" fillId="0" borderId="0" xfId="701" applyNumberFormat="1" applyFont="1" applyFill="1" applyAlignment="1">
      <alignment vertical="center"/>
    </xf>
    <xf numFmtId="0" fontId="2" fillId="0" borderId="0" xfId="701" applyNumberFormat="1" applyFont="1" applyFill="1" applyBorder="1" applyAlignment="1">
      <alignment horizontal="center" vertical="top" wrapText="1"/>
    </xf>
    <xf numFmtId="165" fontId="2" fillId="0" borderId="0" xfId="701" applyNumberFormat="1" applyFont="1" applyFill="1" applyBorder="1" applyAlignment="1" applyProtection="1">
      <alignment horizontal="center"/>
    </xf>
    <xf numFmtId="0" fontId="2" fillId="0" borderId="0" xfId="701" applyNumberFormat="1" applyFont="1" applyFill="1" applyAlignment="1" applyProtection="1"/>
    <xf numFmtId="166" fontId="2" fillId="0" borderId="3" xfId="701" applyNumberFormat="1" applyFont="1" applyFill="1" applyBorder="1" applyAlignment="1"/>
    <xf numFmtId="37" fontId="2" fillId="0" borderId="0" xfId="701" applyNumberFormat="1" applyFont="1" applyFill="1" applyAlignment="1">
      <alignment vertical="top"/>
    </xf>
    <xf numFmtId="166" fontId="2" fillId="0" borderId="2" xfId="701" applyNumberFormat="1" applyFont="1" applyFill="1" applyBorder="1" applyAlignment="1"/>
    <xf numFmtId="37" fontId="2" fillId="0" borderId="0" xfId="701" applyNumberFormat="1" applyFont="1" applyFill="1" applyAlignment="1" applyProtection="1">
      <alignment vertical="top"/>
    </xf>
    <xf numFmtId="49" fontId="2" fillId="0" borderId="3" xfId="701" applyNumberFormat="1" applyFont="1" applyFill="1" applyBorder="1" applyAlignment="1" applyProtection="1">
      <alignment horizontal="center"/>
    </xf>
    <xf numFmtId="165" fontId="2" fillId="0" borderId="0" xfId="701" applyNumberFormat="1" applyFont="1" applyFill="1"/>
    <xf numFmtId="0" fontId="2" fillId="0" borderId="0" xfId="701" applyNumberFormat="1" applyFont="1" applyFill="1" applyAlignment="1"/>
    <xf numFmtId="166" fontId="2" fillId="0" borderId="2" xfId="701" applyNumberFormat="1" applyFont="1" applyFill="1" applyBorder="1" applyAlignment="1">
      <alignment horizontal="justify" vertical="top" wrapText="1"/>
    </xf>
    <xf numFmtId="166" fontId="2" fillId="0" borderId="1" xfId="701" applyNumberFormat="1" applyFont="1" applyFill="1" applyBorder="1" applyAlignment="1">
      <alignment horizontal="justify" vertical="top" wrapText="1"/>
    </xf>
    <xf numFmtId="166" fontId="2" fillId="0" borderId="3" xfId="701" applyNumberFormat="1" applyFont="1" applyFill="1" applyBorder="1" applyAlignment="1">
      <alignment horizontal="justify" vertical="top" wrapText="1"/>
    </xf>
    <xf numFmtId="0" fontId="2" fillId="0" borderId="0" xfId="701" applyNumberFormat="1" applyFont="1" applyFill="1" applyAlignment="1" applyProtection="1">
      <alignment vertical="top"/>
    </xf>
    <xf numFmtId="0" fontId="2" fillId="0" borderId="0" xfId="701" applyNumberFormat="1" applyFont="1" applyFill="1" applyAlignment="1">
      <alignment vertical="top" wrapText="1"/>
    </xf>
    <xf numFmtId="0" fontId="2" fillId="0" borderId="0" xfId="701" applyNumberFormat="1" applyFont="1" applyFill="1" applyAlignment="1">
      <alignment vertical="top"/>
    </xf>
    <xf numFmtId="166" fontId="2" fillId="0" borderId="0" xfId="701" applyNumberFormat="1" applyFont="1" applyFill="1" applyBorder="1" applyAlignment="1"/>
    <xf numFmtId="0" fontId="2" fillId="0" borderId="0" xfId="701" quotePrefix="1" applyNumberFormat="1" applyFont="1" applyFill="1" applyAlignment="1">
      <alignment horizontal="center"/>
    </xf>
    <xf numFmtId="0" fontId="2" fillId="0" borderId="0" xfId="701" applyNumberFormat="1" applyFont="1" applyFill="1" applyAlignment="1">
      <alignment horizontal="center"/>
    </xf>
    <xf numFmtId="165" fontId="2" fillId="0" borderId="0" xfId="701" applyNumberFormat="1" applyFont="1" applyFill="1" applyBorder="1"/>
    <xf numFmtId="0" fontId="2" fillId="0" borderId="0" xfId="701" quotePrefix="1" applyNumberFormat="1" applyFont="1" applyFill="1" applyAlignment="1">
      <alignment horizontal="center" vertical="top"/>
    </xf>
    <xf numFmtId="166" fontId="2" fillId="0" borderId="7" xfId="701" applyNumberFormat="1" applyFont="1" applyFill="1" applyBorder="1" applyAlignment="1">
      <alignment horizontal="center"/>
    </xf>
    <xf numFmtId="0" fontId="2" fillId="0" borderId="0" xfId="701" applyNumberFormat="1" applyFont="1" applyFill="1" applyBorder="1" applyAlignment="1">
      <alignment vertical="top" wrapText="1"/>
    </xf>
    <xf numFmtId="37" fontId="2" fillId="0" borderId="0" xfId="701" applyNumberFormat="1" applyFont="1" applyFill="1" applyBorder="1" applyAlignment="1" applyProtection="1"/>
    <xf numFmtId="37" fontId="2" fillId="0" borderId="0" xfId="701" applyNumberFormat="1" applyFont="1" applyFill="1" applyBorder="1" applyAlignment="1">
      <alignment vertical="top"/>
    </xf>
    <xf numFmtId="0" fontId="2" fillId="0" borderId="0" xfId="701" applyNumberFormat="1" applyFont="1" applyFill="1" applyBorder="1" applyAlignment="1"/>
    <xf numFmtId="166" fontId="2" fillId="0" borderId="0" xfId="701" applyNumberFormat="1" applyFont="1" applyFill="1" applyBorder="1" applyAlignment="1" applyProtection="1">
      <alignment horizontal="left"/>
    </xf>
    <xf numFmtId="0" fontId="2" fillId="0" borderId="0" xfId="701" applyNumberFormat="1" applyFont="1" applyFill="1" applyBorder="1" applyAlignment="1" applyProtection="1">
      <alignment horizontal="left"/>
    </xf>
    <xf numFmtId="166" fontId="2" fillId="0" borderId="0" xfId="701" applyNumberFormat="1" applyFont="1" applyFill="1" applyAlignment="1" applyProtection="1">
      <alignment horizontal="left" vertical="top" wrapText="1"/>
    </xf>
    <xf numFmtId="0" fontId="2" fillId="0" borderId="0" xfId="701" applyNumberFormat="1" applyFont="1" applyFill="1" applyBorder="1" applyAlignment="1" applyProtection="1">
      <alignment horizontal="left" vertical="top" wrapText="1"/>
    </xf>
    <xf numFmtId="166" fontId="2" fillId="0" borderId="5" xfId="701" applyNumberFormat="1" applyFont="1" applyFill="1" applyBorder="1" applyAlignment="1" applyProtection="1">
      <alignment horizontal="left" vertical="top" wrapText="1"/>
    </xf>
    <xf numFmtId="37" fontId="2" fillId="0" borderId="0" xfId="701" applyNumberFormat="1" applyFont="1" applyFill="1" applyAlignment="1" applyProtection="1">
      <alignment horizontal="left" vertical="top"/>
    </xf>
    <xf numFmtId="0" fontId="2" fillId="0" borderId="0" xfId="701" applyNumberFormat="1" applyFont="1" applyFill="1" applyBorder="1" applyAlignment="1"/>
    <xf numFmtId="166" fontId="2" fillId="0" borderId="1" xfId="701" applyNumberFormat="1" applyFont="1" applyFill="1" applyBorder="1" applyAlignment="1"/>
    <xf numFmtId="0" fontId="2" fillId="0" borderId="0" xfId="701" applyNumberFormat="1" applyFont="1" applyFill="1" applyAlignment="1" applyProtection="1">
      <alignment horizontal="left" vertical="top"/>
    </xf>
    <xf numFmtId="0" fontId="2" fillId="0" borderId="0" xfId="701" applyNumberFormat="1" applyFont="1" applyFill="1" applyBorder="1" applyAlignment="1" applyProtection="1"/>
    <xf numFmtId="166" fontId="2" fillId="0" borderId="0" xfId="701" applyNumberFormat="1" applyFont="1" applyFill="1" applyAlignment="1">
      <alignment vertical="top" wrapText="1"/>
    </xf>
    <xf numFmtId="166" fontId="2" fillId="0" borderId="5" xfId="701" applyNumberFormat="1" applyFont="1" applyFill="1" applyBorder="1" applyAlignment="1">
      <alignment vertical="top" wrapText="1"/>
    </xf>
    <xf numFmtId="165" fontId="2" fillId="0" borderId="5" xfId="701" applyNumberFormat="1" applyFont="1" applyFill="1" applyBorder="1" applyAlignment="1"/>
    <xf numFmtId="37" fontId="2" fillId="3" borderId="0" xfId="701" applyNumberFormat="1" applyFont="1" applyFill="1"/>
    <xf numFmtId="0" fontId="2" fillId="0" borderId="0" xfId="701" applyNumberFormat="1" applyFont="1" applyFill="1" applyAlignment="1">
      <alignment horizontal="left"/>
    </xf>
    <xf numFmtId="0" fontId="2" fillId="0" borderId="0" xfId="701" applyNumberFormat="1" applyFont="1" applyFill="1" applyAlignment="1">
      <alignment horizontal="left" wrapText="1"/>
    </xf>
    <xf numFmtId="165" fontId="2" fillId="0" borderId="7" xfId="701" applyNumberFormat="1" applyFont="1" applyFill="1" applyBorder="1" applyAlignment="1">
      <alignment vertical="top" wrapText="1"/>
    </xf>
    <xf numFmtId="166" fontId="2" fillId="0" borderId="7" xfId="701" applyNumberFormat="1" applyFont="1" applyFill="1" applyBorder="1" applyAlignment="1"/>
    <xf numFmtId="9" fontId="2" fillId="0" borderId="0" xfId="701" applyNumberFormat="1" applyFont="1" applyFill="1" applyBorder="1" applyAlignment="1" applyProtection="1">
      <alignment horizontal="center"/>
    </xf>
    <xf numFmtId="10" fontId="2" fillId="0" borderId="0" xfId="701" applyNumberFormat="1" applyFont="1" applyFill="1"/>
    <xf numFmtId="0" fontId="2" fillId="0" borderId="0" xfId="701" applyNumberFormat="1" applyFont="1" applyFill="1" applyAlignment="1">
      <alignment vertical="top" wrapText="1"/>
    </xf>
    <xf numFmtId="166" fontId="2" fillId="0" borderId="7" xfId="701" applyNumberFormat="1" applyFont="1" applyFill="1" applyBorder="1" applyAlignment="1">
      <alignment vertical="top" wrapText="1"/>
    </xf>
    <xf numFmtId="166" fontId="2" fillId="0" borderId="1" xfId="701" applyNumberFormat="1" applyFont="1" applyFill="1" applyBorder="1" applyAlignment="1" applyProtection="1"/>
    <xf numFmtId="0" fontId="2" fillId="0" borderId="0" xfId="701" applyNumberFormat="1" applyFont="1" applyFill="1" applyBorder="1" applyAlignment="1">
      <alignment wrapText="1"/>
    </xf>
    <xf numFmtId="166" fontId="2" fillId="0" borderId="0" xfId="701" applyNumberFormat="1" applyFont="1" applyFill="1" applyBorder="1" applyAlignment="1">
      <alignment wrapText="1"/>
    </xf>
    <xf numFmtId="165" fontId="2" fillId="0" borderId="1" xfId="701" applyNumberFormat="1" applyFont="1" applyFill="1" applyBorder="1"/>
    <xf numFmtId="0" fontId="2" fillId="0" borderId="4" xfId="701" applyNumberFormat="1" applyFont="1" applyBorder="1"/>
    <xf numFmtId="0" fontId="2" fillId="0" borderId="5" xfId="701" applyNumberFormat="1" applyFont="1" applyBorder="1"/>
    <xf numFmtId="166" fontId="2" fillId="0" borderId="0" xfId="701" applyNumberFormat="1" applyFont="1" applyFill="1" applyBorder="1" applyAlignment="1">
      <alignment horizontal="center" vertical="center"/>
    </xf>
    <xf numFmtId="0" fontId="2" fillId="0" borderId="0" xfId="701" applyNumberFormat="1" applyFont="1" applyFill="1" applyAlignment="1">
      <alignment horizontal="center" vertical="top" wrapText="1"/>
    </xf>
    <xf numFmtId="0" fontId="2" fillId="0" borderId="0" xfId="701" applyNumberFormat="1" applyFont="1" applyFill="1" applyAlignment="1">
      <alignment horizontal="center" vertical="center"/>
    </xf>
    <xf numFmtId="166" fontId="2" fillId="0" borderId="0" xfId="701" applyNumberFormat="1" applyFont="1" applyFill="1" applyBorder="1" applyAlignment="1" applyProtection="1">
      <alignment horizontal="left" vertical="top" wrapText="1"/>
    </xf>
    <xf numFmtId="0" fontId="2" fillId="0" borderId="0" xfId="701" applyNumberFormat="1" applyFont="1"/>
    <xf numFmtId="0" fontId="2" fillId="0" borderId="0" xfId="701" applyNumberFormat="1" applyFont="1" applyFill="1" applyBorder="1" applyAlignment="1">
      <alignment horizontal="justify" vertical="justify" wrapText="1"/>
    </xf>
    <xf numFmtId="0" fontId="2" fillId="0" borderId="0" xfId="701" applyNumberFormat="1" applyFont="1" applyFill="1" applyAlignment="1">
      <alignment horizontal="left" vertical="top" wrapText="1"/>
    </xf>
    <xf numFmtId="0" fontId="2" fillId="0" borderId="0" xfId="701" applyNumberFormat="1" applyFont="1" applyFill="1" applyBorder="1" applyAlignment="1">
      <alignment horizontal="left" vertical="top" wrapText="1"/>
    </xf>
    <xf numFmtId="0" fontId="2" fillId="0" borderId="15" xfId="701" applyNumberFormat="1" applyFont="1" applyFill="1" applyBorder="1" applyAlignment="1">
      <alignment horizontal="center" vertical="center"/>
    </xf>
    <xf numFmtId="0" fontId="2" fillId="0" borderId="0" xfId="701" applyNumberFormat="1" applyFont="1" applyFill="1" applyBorder="1" applyAlignment="1">
      <alignment vertical="center"/>
    </xf>
    <xf numFmtId="0" fontId="2" fillId="0" borderId="8" xfId="701" quotePrefix="1" applyNumberFormat="1" applyFont="1" applyFill="1" applyBorder="1" applyAlignment="1">
      <alignment horizontal="center" vertical="center"/>
    </xf>
    <xf numFmtId="39" fontId="2" fillId="0" borderId="5" xfId="701" applyNumberFormat="1" applyFont="1" applyFill="1" applyBorder="1"/>
    <xf numFmtId="166" fontId="2" fillId="0" borderId="5" xfId="701" applyNumberFormat="1" applyFont="1" applyFill="1" applyBorder="1" applyAlignment="1">
      <alignment horizontal="justify" vertical="top" wrapText="1"/>
    </xf>
    <xf numFmtId="166" fontId="2" fillId="0" borderId="9" xfId="701" applyNumberFormat="1" applyFont="1" applyFill="1" applyBorder="1" applyAlignment="1">
      <alignment horizontal="justify" vertical="top" wrapText="1"/>
    </xf>
    <xf numFmtId="0" fontId="2" fillId="0" borderId="0" xfId="701" applyNumberFormat="1" applyFont="1" applyFill="1" applyBorder="1" applyAlignment="1">
      <alignment vertical="center" wrapText="1"/>
    </xf>
    <xf numFmtId="0" fontId="2" fillId="0" borderId="0" xfId="701" applyNumberFormat="1" applyFont="1" applyFill="1" applyAlignment="1" applyProtection="1">
      <alignment horizontal="left" vertical="top" wrapText="1"/>
    </xf>
    <xf numFmtId="0" fontId="2" fillId="0" borderId="0" xfId="701" applyNumberFormat="1" applyFont="1" applyFill="1" applyAlignment="1">
      <alignment horizontal="justify" vertical="top" wrapText="1"/>
    </xf>
    <xf numFmtId="0" fontId="2" fillId="0" borderId="0" xfId="701" applyNumberFormat="1" applyFont="1" applyFill="1" applyAlignment="1">
      <alignment horizontal="left" vertical="top"/>
    </xf>
    <xf numFmtId="37" fontId="2" fillId="0" borderId="0" xfId="701" applyNumberFormat="1" applyFont="1" applyFill="1" applyAlignment="1">
      <alignment horizontal="left" vertical="top" wrapText="1"/>
    </xf>
    <xf numFmtId="0" fontId="2" fillId="0" borderId="2" xfId="701" applyNumberFormat="1" applyFont="1" applyFill="1" applyBorder="1"/>
    <xf numFmtId="0" fontId="2" fillId="0" borderId="1" xfId="701" applyNumberFormat="1" applyFont="1" applyFill="1" applyBorder="1"/>
    <xf numFmtId="0" fontId="2" fillId="0" borderId="3" xfId="701" applyNumberFormat="1" applyFont="1" applyFill="1" applyBorder="1"/>
    <xf numFmtId="0" fontId="2" fillId="0" borderId="8" xfId="701" applyNumberFormat="1" applyFont="1" applyFill="1" applyBorder="1"/>
    <xf numFmtId="166" fontId="2" fillId="0" borderId="0" xfId="701" applyNumberFormat="1" applyFont="1"/>
    <xf numFmtId="166" fontId="2" fillId="0" borderId="0" xfId="701" applyNumberFormat="1" applyFont="1" applyAlignment="1">
      <alignment horizontal="right" vertical="top"/>
    </xf>
    <xf numFmtId="166" fontId="2" fillId="0" borderId="8" xfId="701" applyNumberFormat="1" applyFont="1" applyFill="1" applyBorder="1" applyAlignment="1">
      <alignment horizontal="center" vertical="center"/>
    </xf>
    <xf numFmtId="0" fontId="2" fillId="0" borderId="6" xfId="701" applyNumberFormat="1" applyFont="1" applyFill="1" applyBorder="1" applyAlignment="1">
      <alignment horizontal="center" vertical="center"/>
    </xf>
    <xf numFmtId="0" fontId="2" fillId="0" borderId="8" xfId="701" applyNumberFormat="1" applyFont="1" applyFill="1" applyBorder="1" applyAlignment="1">
      <alignment horizontal="center" vertical="center" wrapText="1"/>
    </xf>
    <xf numFmtId="175" fontId="2" fillId="0" borderId="8" xfId="701" applyNumberFormat="1" applyFont="1" applyFill="1" applyBorder="1" applyAlignment="1">
      <alignment horizontal="center" vertical="center"/>
    </xf>
    <xf numFmtId="0" fontId="2" fillId="0" borderId="8" xfId="701" applyNumberFormat="1" applyFont="1" applyFill="1" applyBorder="1" applyAlignment="1">
      <alignment horizontal="center" vertical="center"/>
    </xf>
    <xf numFmtId="9" fontId="2" fillId="0" borderId="8" xfId="701" applyNumberFormat="1" applyFont="1" applyFill="1" applyBorder="1" applyAlignment="1">
      <alignment horizontal="center" vertical="center"/>
    </xf>
    <xf numFmtId="179" fontId="2" fillId="0" borderId="8" xfId="701" applyNumberFormat="1" applyFont="1" applyFill="1" applyBorder="1" applyAlignment="1">
      <alignment horizontal="center" vertical="center"/>
    </xf>
    <xf numFmtId="179" fontId="2" fillId="0" borderId="6" xfId="701" applyNumberFormat="1" applyFont="1" applyFill="1" applyBorder="1" applyAlignment="1">
      <alignment horizontal="center" vertical="top"/>
    </xf>
    <xf numFmtId="166" fontId="2" fillId="0" borderId="8" xfId="701" applyNumberFormat="1" applyFont="1" applyFill="1" applyBorder="1" applyAlignment="1">
      <alignment horizontal="right" vertical="top"/>
    </xf>
    <xf numFmtId="175" fontId="2" fillId="0" borderId="0" xfId="701" applyNumberFormat="1" applyFont="1" applyFill="1" applyBorder="1" applyAlignment="1">
      <alignment horizontal="center" vertical="center"/>
    </xf>
    <xf numFmtId="0" fontId="2" fillId="0" borderId="0" xfId="701" applyNumberFormat="1" applyFont="1" applyFill="1" applyBorder="1" applyAlignment="1">
      <alignment horizontal="center" vertical="center"/>
    </xf>
    <xf numFmtId="9" fontId="2" fillId="0" borderId="0" xfId="701" applyNumberFormat="1" applyFont="1" applyFill="1" applyBorder="1" applyAlignment="1">
      <alignment horizontal="center" vertical="center"/>
    </xf>
    <xf numFmtId="0" fontId="2" fillId="0" borderId="0" xfId="701" applyNumberFormat="1" applyFont="1" applyFill="1" applyBorder="1" applyAlignment="1">
      <alignment horizontal="center" vertical="center"/>
    </xf>
    <xf numFmtId="37" fontId="2" fillId="0" borderId="0" xfId="701" applyNumberFormat="1" applyFont="1" applyFill="1" applyBorder="1" applyAlignment="1">
      <alignment horizontal="left" vertical="top" wrapText="1"/>
    </xf>
    <xf numFmtId="0" fontId="2" fillId="0" borderId="0" xfId="701" applyNumberFormat="1" applyFont="1"/>
    <xf numFmtId="166" fontId="2" fillId="0" borderId="8" xfId="701" applyNumberFormat="1" applyFont="1" applyBorder="1"/>
    <xf numFmtId="166" fontId="2" fillId="3" borderId="0" xfId="701" applyNumberFormat="1" applyFont="1" applyFill="1"/>
    <xf numFmtId="10" fontId="2" fillId="0" borderId="0" xfId="701" applyNumberFormat="1" applyFont="1" applyFill="1" applyAlignment="1">
      <alignment horizontal="center"/>
    </xf>
    <xf numFmtId="37" fontId="2" fillId="0" borderId="0" xfId="701" applyNumberFormat="1" applyFont="1" applyFill="1" applyAlignment="1"/>
    <xf numFmtId="0" fontId="2" fillId="0" borderId="0" xfId="701" applyNumberFormat="1" applyFont="1" applyFill="1" applyAlignment="1">
      <alignment vertical="center"/>
    </xf>
    <xf numFmtId="166" fontId="2" fillId="0" borderId="0" xfId="701" applyNumberFormat="1" applyFont="1" applyFill="1" applyBorder="1" applyAlignment="1">
      <alignment vertical="top"/>
    </xf>
    <xf numFmtId="166" fontId="2" fillId="0" borderId="0" xfId="701" applyNumberFormat="1" applyFont="1" applyFill="1" applyAlignment="1">
      <alignment vertical="top"/>
    </xf>
    <xf numFmtId="0" fontId="2" fillId="0" borderId="7" xfId="701" applyNumberFormat="1" applyFont="1" applyFill="1" applyBorder="1" applyAlignment="1">
      <alignment wrapText="1"/>
    </xf>
    <xf numFmtId="166" fontId="2" fillId="0" borderId="0" xfId="701" applyNumberFormat="1" applyFont="1" applyFill="1" applyBorder="1" applyAlignment="1">
      <alignment vertical="center" wrapText="1"/>
    </xf>
    <xf numFmtId="10" fontId="2" fillId="0" borderId="0" xfId="701" applyNumberFormat="1" applyFont="1" applyFill="1" applyBorder="1" applyAlignment="1">
      <alignment horizontal="center"/>
    </xf>
    <xf numFmtId="166" fontId="2" fillId="0" borderId="8" xfId="701" applyNumberFormat="1" applyFont="1" applyBorder="1"/>
    <xf numFmtId="166" fontId="2" fillId="0" borderId="4" xfId="701" applyNumberFormat="1" applyFont="1" applyBorder="1"/>
    <xf numFmtId="0" fontId="2" fillId="0" borderId="8" xfId="701" applyNumberFormat="1" applyFont="1" applyBorder="1" applyAlignment="1">
      <alignment horizontal="center"/>
    </xf>
    <xf numFmtId="0" fontId="2" fillId="0" borderId="0" xfId="701" applyNumberFormat="1" applyFont="1" applyFill="1" applyAlignment="1">
      <alignment horizontal="right" vertical="center"/>
    </xf>
    <xf numFmtId="0" fontId="2" fillId="0" borderId="0" xfId="701" applyNumberFormat="1" applyFont="1" applyFill="1" applyAlignment="1">
      <alignment horizontal="right"/>
    </xf>
    <xf numFmtId="175" fontId="2" fillId="0" borderId="0" xfId="701" applyNumberFormat="1" applyFont="1" applyFill="1" applyBorder="1" applyAlignment="1">
      <alignment horizontal="left" vertical="center"/>
    </xf>
    <xf numFmtId="0" fontId="2" fillId="0" borderId="4" xfId="701" applyNumberFormat="1" applyFont="1" applyFill="1" applyBorder="1" applyAlignment="1">
      <alignment horizontal="right"/>
    </xf>
    <xf numFmtId="0" fontId="2" fillId="0" borderId="0" xfId="701" applyNumberFormat="1" applyFont="1" applyAlignment="1">
      <alignment horizontal="center"/>
    </xf>
    <xf numFmtId="0" fontId="2" fillId="0" borderId="0" xfId="701" applyNumberFormat="1" applyFont="1" applyBorder="1" applyAlignment="1">
      <alignment horizontal="center"/>
    </xf>
    <xf numFmtId="166" fontId="2" fillId="0" borderId="0" xfId="701" applyNumberFormat="1" applyFont="1" applyBorder="1"/>
    <xf numFmtId="166" fontId="2" fillId="0" borderId="0" xfId="701" applyNumberFormat="1" applyFont="1" applyFill="1" applyAlignment="1">
      <alignment horizontal="center" vertical="center"/>
    </xf>
    <xf numFmtId="166" fontId="2" fillId="0" borderId="0" xfId="701" applyNumberFormat="1" applyFont="1" applyFill="1" applyBorder="1" applyAlignment="1" applyProtection="1">
      <alignment horizontal="center" vertical="center" wrapText="1"/>
    </xf>
    <xf numFmtId="165" fontId="2" fillId="0" borderId="0" xfId="701" applyNumberFormat="1" applyFont="1" applyFill="1" applyAlignment="1">
      <alignment horizontal="center"/>
    </xf>
    <xf numFmtId="9" fontId="2" fillId="0" borderId="0" xfId="701" applyNumberFormat="1" applyFont="1" applyFill="1" applyBorder="1" applyAlignment="1">
      <alignment horizontal="center"/>
    </xf>
    <xf numFmtId="0" fontId="2" fillId="0" borderId="6" xfId="701" applyNumberFormat="1" applyFont="1" applyFill="1" applyBorder="1" applyAlignment="1">
      <alignment vertical="top"/>
    </xf>
    <xf numFmtId="166" fontId="2" fillId="0" borderId="6" xfId="701" applyNumberFormat="1" applyFont="1" applyFill="1" applyBorder="1" applyAlignment="1">
      <alignment horizontal="left" vertical="top"/>
    </xf>
    <xf numFmtId="10" fontId="2" fillId="0" borderId="0" xfId="701" applyNumberFormat="1" applyFont="1" applyFill="1" applyBorder="1" applyAlignment="1">
      <alignment horizontal="left" vertical="top"/>
    </xf>
    <xf numFmtId="166" fontId="2" fillId="0" borderId="0" xfId="701" applyNumberFormat="1" applyFont="1" applyFill="1" applyBorder="1" applyAlignment="1">
      <alignment horizontal="left"/>
    </xf>
    <xf numFmtId="10" fontId="2" fillId="0" borderId="0" xfId="701" applyNumberFormat="1" applyFont="1" applyFill="1" applyBorder="1" applyAlignment="1">
      <alignment horizontal="left"/>
    </xf>
    <xf numFmtId="165" fontId="2" fillId="0" borderId="0" xfId="701" applyNumberFormat="1" applyFont="1" applyFill="1" applyBorder="1" applyAlignment="1">
      <alignment horizontal="left"/>
    </xf>
    <xf numFmtId="166" fontId="2" fillId="0" borderId="0" xfId="701" applyNumberFormat="1" applyFont="1" applyFill="1" applyBorder="1" applyAlignment="1">
      <alignment horizontal="left" vertical="top"/>
    </xf>
    <xf numFmtId="0" fontId="2" fillId="0" borderId="0" xfId="701" applyNumberFormat="1" applyFont="1" applyFill="1" applyAlignment="1">
      <alignment horizontal="left" vertical="justify" wrapText="1"/>
    </xf>
    <xf numFmtId="37" fontId="2" fillId="0" borderId="0" xfId="701" applyNumberFormat="1" applyFont="1" applyFill="1" applyBorder="1" applyAlignment="1">
      <alignment vertical="top" wrapText="1"/>
    </xf>
    <xf numFmtId="0" fontId="2" fillId="0" borderId="0" xfId="701" applyNumberFormat="1" applyFont="1" applyFill="1" applyBorder="1" applyAlignment="1">
      <alignment vertical="justify" wrapText="1"/>
    </xf>
    <xf numFmtId="0" fontId="2" fillId="0" borderId="0" xfId="701" applyNumberFormat="1" applyFont="1" applyFill="1" applyBorder="1" applyAlignment="1">
      <alignment horizontal="left" vertical="justify" wrapText="1"/>
    </xf>
    <xf numFmtId="0" fontId="2" fillId="0" borderId="0" xfId="701" applyNumberFormat="1" applyFont="1" applyFill="1" applyAlignment="1">
      <alignment vertical="center" wrapText="1"/>
    </xf>
    <xf numFmtId="166" fontId="2" fillId="3" borderId="0" xfId="701" applyNumberFormat="1" applyFont="1" applyFill="1" applyBorder="1" applyAlignment="1">
      <alignment horizontal="center" vertical="center"/>
    </xf>
    <xf numFmtId="166" fontId="2" fillId="3" borderId="0" xfId="701" applyNumberFormat="1" applyFont="1" applyFill="1" applyBorder="1"/>
    <xf numFmtId="166" fontId="2" fillId="3" borderId="0" xfId="701" applyNumberFormat="1" applyFont="1" applyFill="1" applyAlignment="1">
      <alignment horizontal="right"/>
    </xf>
    <xf numFmtId="0" fontId="2" fillId="0" borderId="8" xfId="701" applyNumberFormat="1" applyFont="1" applyBorder="1"/>
    <xf numFmtId="9" fontId="2" fillId="0" borderId="8" xfId="701" applyNumberFormat="1" applyFont="1" applyBorder="1" applyAlignment="1">
      <alignment horizontal="center"/>
    </xf>
    <xf numFmtId="0" fontId="2" fillId="0" borderId="0" xfId="701" applyNumberFormat="1" applyFont="1" applyBorder="1"/>
    <xf numFmtId="9" fontId="2" fillId="3" borderId="0" xfId="701" applyNumberFormat="1" applyFont="1" applyFill="1" applyBorder="1" applyAlignment="1">
      <alignment horizontal="center"/>
    </xf>
    <xf numFmtId="9" fontId="2" fillId="3" borderId="0" xfId="701" applyNumberFormat="1" applyFont="1" applyFill="1" applyBorder="1" applyAlignment="1" applyProtection="1">
      <alignment horizontal="center"/>
    </xf>
    <xf numFmtId="0" fontId="2" fillId="0" borderId="8" xfId="701" applyNumberFormat="1" applyFont="1" applyBorder="1" applyAlignment="1">
      <alignment horizontal="left" vertical="center" wrapText="1"/>
    </xf>
    <xf numFmtId="0" fontId="2" fillId="0" borderId="8" xfId="701" applyNumberFormat="1" applyFont="1" applyBorder="1" applyAlignment="1">
      <alignment horizontal="center" vertical="center" wrapText="1"/>
    </xf>
    <xf numFmtId="0" fontId="2" fillId="0" borderId="8" xfId="701" applyNumberFormat="1" applyFont="1" applyBorder="1" applyAlignment="1">
      <alignment horizontal="left" wrapText="1"/>
    </xf>
    <xf numFmtId="166" fontId="2" fillId="0" borderId="8" xfId="701" applyNumberFormat="1" applyFont="1" applyBorder="1" applyAlignment="1">
      <alignment horizontal="right"/>
    </xf>
    <xf numFmtId="0" fontId="2" fillId="0" borderId="8" xfId="701" applyNumberFormat="1" applyFont="1" applyBorder="1" applyAlignment="1">
      <alignment horizontal="left"/>
    </xf>
    <xf numFmtId="0" fontId="2" fillId="0" borderId="8" xfId="701" applyNumberFormat="1" applyFont="1" applyBorder="1" applyAlignment="1">
      <alignment horizontal="right" indent="1"/>
    </xf>
    <xf numFmtId="0" fontId="2" fillId="0" borderId="6" xfId="701" applyNumberFormat="1" applyFont="1" applyFill="1" applyBorder="1" applyAlignment="1">
      <alignment horizontal="center" vertical="top" wrapText="1"/>
    </xf>
    <xf numFmtId="9" fontId="2" fillId="0" borderId="5" xfId="701" applyNumberFormat="1" applyFont="1" applyFill="1" applyBorder="1" applyAlignment="1">
      <alignment horizontal="right" vertical="top" wrapText="1"/>
    </xf>
    <xf numFmtId="9" fontId="2" fillId="0" borderId="0" xfId="701" applyNumberFormat="1" applyFont="1" applyFill="1" applyBorder="1" applyAlignment="1">
      <alignment horizontal="center" vertical="top" wrapText="1"/>
    </xf>
    <xf numFmtId="37" fontId="2" fillId="0" borderId="8" xfId="701" quotePrefix="1" applyNumberFormat="1" applyFont="1" applyFill="1" applyBorder="1" applyAlignment="1">
      <alignment horizontal="center" vertical="center" wrapText="1"/>
    </xf>
    <xf numFmtId="37" fontId="2" fillId="0" borderId="17" xfId="701" quotePrefix="1" applyNumberFormat="1" applyFont="1" applyFill="1" applyBorder="1" applyAlignment="1">
      <alignment vertical="center" wrapText="1"/>
    </xf>
    <xf numFmtId="37" fontId="2" fillId="0" borderId="18" xfId="701" applyNumberFormat="1" applyFont="1" applyFill="1" applyBorder="1" applyAlignment="1">
      <alignment horizontal="right" vertical="top" wrapText="1"/>
    </xf>
    <xf numFmtId="37" fontId="2" fillId="0" borderId="0" xfId="701" applyNumberFormat="1" applyFont="1" applyFill="1" applyAlignment="1">
      <alignment horizontal="center" vertical="top"/>
    </xf>
    <xf numFmtId="166" fontId="2" fillId="0" borderId="6" xfId="701" applyNumberFormat="1" applyFont="1" applyFill="1" applyBorder="1" applyAlignment="1">
      <alignment horizontal="right" vertical="top"/>
    </xf>
    <xf numFmtId="166" fontId="2" fillId="0" borderId="0" xfId="701" applyNumberFormat="1" applyFont="1" applyFill="1" applyAlignment="1">
      <alignment horizontal="right" vertical="top"/>
    </xf>
    <xf numFmtId="0" fontId="2" fillId="0" borderId="0" xfId="701" applyNumberFormat="1" applyFont="1" applyFill="1" applyBorder="1" applyAlignment="1">
      <alignment vertical="top"/>
    </xf>
    <xf numFmtId="0" fontId="2" fillId="0" borderId="8" xfId="701" applyNumberFormat="1" applyFont="1" applyFill="1" applyBorder="1" applyAlignment="1">
      <alignment horizontal="center" vertical="top"/>
    </xf>
    <xf numFmtId="0" fontId="2" fillId="0" borderId="0" xfId="701" applyNumberFormat="1" applyFont="1" applyFill="1" applyBorder="1" applyAlignment="1">
      <alignment horizontal="center" vertical="top"/>
    </xf>
    <xf numFmtId="166" fontId="2" fillId="0" borderId="0" xfId="701" applyNumberFormat="1" applyFont="1" applyFill="1" applyBorder="1" applyAlignment="1">
      <alignment horizontal="justify" vertical="top" wrapText="1"/>
    </xf>
    <xf numFmtId="166" fontId="2" fillId="0" borderId="0" xfId="701" applyNumberFormat="1" applyFont="1" applyFill="1" applyAlignment="1">
      <alignment horizontal="justify" vertical="top" wrapText="1"/>
    </xf>
    <xf numFmtId="166" fontId="2" fillId="0" borderId="0" xfId="701" applyNumberFormat="1" applyFont="1" applyFill="1" applyBorder="1" applyAlignment="1">
      <alignment horizontal="justify" vertical="top" wrapText="1"/>
    </xf>
    <xf numFmtId="0" fontId="2" fillId="0" borderId="0" xfId="701" applyNumberFormat="1" applyFont="1" applyFill="1" applyAlignment="1">
      <alignment horizontal="justify" vertical="top"/>
    </xf>
    <xf numFmtId="0" fontId="2" fillId="0" borderId="0" xfId="701" applyNumberFormat="1" applyFont="1" applyFill="1" applyBorder="1" applyAlignment="1">
      <alignment horizontal="justify" vertical="top" wrapText="1"/>
    </xf>
    <xf numFmtId="0" fontId="2" fillId="0" borderId="0" xfId="701" applyNumberFormat="1" applyFont="1" applyFill="1" applyBorder="1" applyAlignment="1" applyProtection="1">
      <alignment horizontal="left" vertical="top"/>
    </xf>
    <xf numFmtId="0" fontId="2" fillId="0" borderId="0" xfId="701" applyNumberFormat="1" applyFont="1" applyFill="1" applyBorder="1" applyAlignment="1" applyProtection="1">
      <alignment vertical="top"/>
    </xf>
    <xf numFmtId="0" fontId="2" fillId="0" borderId="0" xfId="701" applyNumberFormat="1" applyFont="1" applyFill="1" applyAlignment="1">
      <alignment horizontal="center" vertical="top"/>
    </xf>
    <xf numFmtId="37" fontId="2" fillId="0" borderId="0" xfId="701" quotePrefix="1" applyNumberFormat="1" applyFont="1" applyFill="1" applyAlignment="1">
      <alignment horizontal="center" vertical="top"/>
    </xf>
    <xf numFmtId="166" fontId="2" fillId="0" borderId="3" xfId="701" applyNumberFormat="1" applyFont="1" applyFill="1" applyBorder="1" applyAlignment="1">
      <alignment vertical="top"/>
    </xf>
    <xf numFmtId="37" fontId="2" fillId="0" borderId="0" xfId="701" applyNumberFormat="1" applyFont="1" applyFill="1" applyBorder="1" applyAlignment="1">
      <alignment horizontal="center" vertical="top"/>
    </xf>
    <xf numFmtId="166" fontId="2" fillId="0" borderId="0" xfId="701" applyNumberFormat="1" applyFont="1" applyFill="1" applyBorder="1" applyAlignment="1">
      <alignment horizontal="right" vertical="top"/>
    </xf>
    <xf numFmtId="37" fontId="2" fillId="0" borderId="0" xfId="701" applyNumberFormat="1" applyFont="1" applyFill="1" applyAlignment="1">
      <alignment horizontal="left" vertical="top"/>
    </xf>
    <xf numFmtId="166" fontId="2" fillId="0" borderId="7" xfId="701" applyNumberFormat="1" applyFont="1" applyFill="1" applyBorder="1" applyAlignment="1">
      <alignment horizontal="justify" vertical="top" wrapText="1"/>
    </xf>
    <xf numFmtId="166" fontId="2" fillId="0" borderId="1" xfId="701" applyNumberFormat="1" applyFont="1" applyFill="1" applyBorder="1" applyAlignment="1" applyProtection="1">
      <alignment vertical="top"/>
    </xf>
    <xf numFmtId="0" fontId="2" fillId="0" borderId="16" xfId="701" applyNumberFormat="1" applyFont="1" applyFill="1" applyBorder="1" applyAlignment="1">
      <alignment vertical="top" wrapText="1"/>
    </xf>
    <xf numFmtId="166" fontId="2" fillId="0" borderId="0" xfId="701" applyNumberFormat="1" applyFont="1" applyFill="1" applyAlignment="1" applyProtection="1">
      <alignment horizontal="center" vertical="top"/>
    </xf>
    <xf numFmtId="166" fontId="2" fillId="0" borderId="5" xfId="701" applyNumberFormat="1" applyFont="1" applyFill="1" applyBorder="1" applyAlignment="1">
      <alignment vertical="top"/>
    </xf>
    <xf numFmtId="165" fontId="2" fillId="0" borderId="0" xfId="701" applyNumberFormat="1" applyFont="1" applyFill="1" applyBorder="1" applyAlignment="1" applyProtection="1">
      <alignment vertical="top"/>
    </xf>
    <xf numFmtId="166" fontId="2" fillId="0" borderId="6" xfId="701" applyNumberFormat="1" applyFont="1" applyFill="1" applyBorder="1" applyAlignment="1">
      <alignment vertical="top"/>
    </xf>
    <xf numFmtId="0" fontId="2" fillId="0" borderId="0" xfId="701" applyNumberFormat="1" applyFont="1" applyFill="1" applyBorder="1" applyAlignment="1" applyProtection="1">
      <alignment vertical="top"/>
    </xf>
    <xf numFmtId="166" fontId="2" fillId="0" borderId="2" xfId="701" applyNumberFormat="1" applyFont="1" applyFill="1" applyBorder="1" applyAlignment="1">
      <alignment vertical="top"/>
    </xf>
    <xf numFmtId="166" fontId="2" fillId="0" borderId="1" xfId="701" applyNumberFormat="1" applyFont="1" applyFill="1" applyBorder="1" applyAlignment="1">
      <alignment vertical="top"/>
    </xf>
    <xf numFmtId="166" fontId="2" fillId="0" borderId="4" xfId="701" applyNumberFormat="1" applyFont="1" applyFill="1" applyBorder="1" applyAlignment="1">
      <alignment vertical="top"/>
    </xf>
    <xf numFmtId="166" fontId="2" fillId="0" borderId="7" xfId="701" applyNumberFormat="1" applyFont="1" applyFill="1" applyBorder="1" applyAlignment="1">
      <alignment vertical="top"/>
    </xf>
    <xf numFmtId="178" fontId="2" fillId="0" borderId="0" xfId="701" quotePrefix="1" applyNumberFormat="1" applyFont="1" applyFill="1" applyAlignment="1">
      <alignment horizontal="center" vertical="top"/>
    </xf>
    <xf numFmtId="166" fontId="2" fillId="0" borderId="2" xfId="701" applyNumberFormat="1" applyFont="1" applyFill="1" applyBorder="1" applyAlignment="1">
      <alignment horizontal="right" vertical="top"/>
    </xf>
    <xf numFmtId="166" fontId="2" fillId="0" borderId="3" xfId="701" applyNumberFormat="1" applyFont="1" applyFill="1" applyBorder="1" applyAlignment="1">
      <alignment horizontal="right" vertical="top"/>
    </xf>
    <xf numFmtId="0" fontId="2" fillId="0" borderId="0" xfId="701" applyNumberFormat="1" applyFont="1" applyFill="1" applyAlignment="1">
      <alignment vertical="center"/>
    </xf>
    <xf numFmtId="166" fontId="2" fillId="0" borderId="4" xfId="701" applyNumberFormat="1" applyFont="1" applyFill="1" applyBorder="1" applyAlignment="1">
      <alignment horizontal="justify" vertical="top" wrapText="1"/>
    </xf>
    <xf numFmtId="0" fontId="2" fillId="0" borderId="0" xfId="701" quotePrefix="1" applyNumberFormat="1" applyFont="1" applyFill="1" applyBorder="1" applyAlignment="1">
      <alignment horizontal="center" vertical="top"/>
    </xf>
    <xf numFmtId="0" fontId="2" fillId="0" borderId="0" xfId="701" applyNumberFormat="1" applyFont="1" applyFill="1" applyAlignment="1" applyProtection="1">
      <alignment horizontal="justify" vertical="top" wrapText="1"/>
    </xf>
    <xf numFmtId="0" fontId="2" fillId="0" borderId="0" xfId="701" applyNumberFormat="1" applyFont="1" applyFill="1" applyAlignment="1" applyProtection="1">
      <alignment vertical="top" wrapText="1"/>
    </xf>
    <xf numFmtId="0" fontId="2" fillId="0" borderId="0" xfId="701" applyNumberFormat="1" applyFont="1" applyFill="1" applyBorder="1" applyAlignment="1">
      <alignment vertical="top"/>
    </xf>
    <xf numFmtId="0" fontId="2" fillId="0" borderId="0" xfId="701" applyNumberFormat="1" applyFont="1" applyFill="1" applyBorder="1" applyAlignment="1">
      <alignment horizontal="justify" vertical="top"/>
    </xf>
    <xf numFmtId="2" fontId="2" fillId="0" borderId="0" xfId="701" quotePrefix="1" applyNumberFormat="1" applyFont="1" applyFill="1" applyAlignment="1">
      <alignment horizontal="center" vertical="top"/>
    </xf>
    <xf numFmtId="177" fontId="2" fillId="0" borderId="0" xfId="701" applyNumberFormat="1" applyFont="1" applyFill="1" applyBorder="1" applyAlignment="1">
      <alignment vertical="top"/>
    </xf>
    <xf numFmtId="0" fontId="2" fillId="0" borderId="8" xfId="701" applyNumberFormat="1" applyFont="1" applyFill="1" applyBorder="1" applyAlignment="1">
      <alignment horizontal="center" vertical="top"/>
    </xf>
    <xf numFmtId="166" fontId="2" fillId="0" borderId="3" xfId="701" applyNumberFormat="1" applyFont="1" applyFill="1" applyBorder="1" applyAlignment="1">
      <alignment vertical="center"/>
    </xf>
    <xf numFmtId="166" fontId="2" fillId="0" borderId="0" xfId="701" applyNumberFormat="1" applyFont="1" applyFill="1" applyBorder="1" applyAlignment="1" applyProtection="1">
      <alignment vertical="center"/>
    </xf>
    <xf numFmtId="9" fontId="2" fillId="0" borderId="0" xfId="701" applyNumberFormat="1" applyFont="1" applyFill="1" applyBorder="1" applyAlignment="1" applyProtection="1">
      <alignment horizontal="center" vertical="top"/>
    </xf>
    <xf numFmtId="9" fontId="2" fillId="0" borderId="0" xfId="701" applyNumberFormat="1" applyFont="1" applyFill="1" applyAlignment="1">
      <alignment horizontal="center" vertical="top"/>
    </xf>
    <xf numFmtId="177" fontId="2" fillId="0" borderId="0" xfId="701" applyNumberFormat="1" applyFont="1" applyFill="1" applyAlignment="1">
      <alignment horizontal="justify" vertical="top" wrapText="1"/>
    </xf>
    <xf numFmtId="0" fontId="2" fillId="0" borderId="0" xfId="701" quotePrefix="1" applyNumberFormat="1" applyFont="1" applyFill="1" applyAlignment="1">
      <alignment vertical="top"/>
    </xf>
    <xf numFmtId="177" fontId="2" fillId="0" borderId="0" xfId="701" applyNumberFormat="1" applyFont="1" applyFill="1" applyBorder="1" applyAlignment="1">
      <alignment horizontal="justify" vertical="top" wrapText="1"/>
    </xf>
    <xf numFmtId="0" fontId="2" fillId="0" borderId="0" xfId="701" applyNumberFormat="1" applyFont="1" applyFill="1" applyBorder="1" applyAlignment="1">
      <alignment horizontal="center" vertical="top"/>
    </xf>
    <xf numFmtId="166" fontId="2" fillId="0" borderId="0" xfId="701" applyNumberFormat="1" applyFont="1" applyFill="1" applyBorder="1" applyAlignment="1" applyProtection="1">
      <alignment horizontal="center" vertical="top"/>
    </xf>
    <xf numFmtId="166" fontId="2" fillId="0" borderId="6" xfId="701" applyNumberFormat="1" applyFont="1" applyFill="1" applyBorder="1" applyAlignment="1" applyProtection="1">
      <alignment horizontal="center" vertical="top"/>
    </xf>
    <xf numFmtId="166" fontId="2" fillId="0" borderId="2" xfId="701" applyNumberFormat="1" applyFont="1" applyFill="1" applyBorder="1" applyAlignment="1" applyProtection="1">
      <alignment horizontal="center" vertical="top"/>
    </xf>
    <xf numFmtId="176" fontId="2" fillId="0" borderId="0" xfId="701" applyNumberFormat="1" applyFont="1" applyFill="1" applyBorder="1" applyAlignment="1" applyProtection="1">
      <alignment horizontal="center" vertical="top"/>
    </xf>
    <xf numFmtId="166" fontId="2" fillId="0" borderId="0" xfId="701" applyNumberFormat="1" applyFont="1" applyFill="1" applyBorder="1" applyAlignment="1">
      <alignment horizontal="center" vertical="top"/>
    </xf>
    <xf numFmtId="174" fontId="2" fillId="0" borderId="0" xfId="701" applyNumberFormat="1" applyFont="1" applyFill="1" applyAlignment="1">
      <alignment horizontal="center" vertical="top"/>
    </xf>
    <xf numFmtId="166" fontId="2" fillId="0" borderId="3" xfId="701" applyNumberFormat="1" applyFont="1" applyFill="1" applyBorder="1" applyAlignment="1" applyProtection="1">
      <alignment horizontal="center" vertical="top"/>
    </xf>
    <xf numFmtId="166" fontId="2" fillId="0" borderId="0" xfId="701" applyNumberFormat="1" applyFont="1" applyFill="1" applyBorder="1" applyAlignment="1" applyProtection="1">
      <alignment horizontal="center" vertical="top"/>
    </xf>
    <xf numFmtId="166" fontId="2" fillId="0" borderId="5" xfId="701" applyNumberFormat="1" applyFont="1" applyFill="1" applyBorder="1" applyAlignment="1" applyProtection="1">
      <alignment horizontal="center" vertical="top"/>
    </xf>
    <xf numFmtId="166" fontId="2" fillId="0" borderId="0" xfId="701" applyNumberFormat="1" applyFont="1" applyFill="1" applyBorder="1" applyAlignment="1">
      <alignment horizontal="center" vertical="top"/>
    </xf>
    <xf numFmtId="166" fontId="2" fillId="0" borderId="0" xfId="701" applyNumberFormat="1" applyFont="1" applyFill="1" applyBorder="1" applyAlignment="1" applyProtection="1">
      <alignment horizontal="left" vertical="top"/>
    </xf>
    <xf numFmtId="37" fontId="2" fillId="0" borderId="2" xfId="701" applyNumberFormat="1" applyFont="1" applyFill="1" applyBorder="1" applyAlignment="1">
      <alignment vertical="top"/>
    </xf>
    <xf numFmtId="37" fontId="2" fillId="0" borderId="3" xfId="701" applyNumberFormat="1" applyFont="1" applyFill="1" applyBorder="1" applyAlignment="1">
      <alignment vertical="top"/>
    </xf>
    <xf numFmtId="166" fontId="2" fillId="0" borderId="4" xfId="701" applyNumberFormat="1" applyFont="1" applyFill="1" applyBorder="1" applyAlignment="1" applyProtection="1">
      <alignment horizontal="center" vertical="top"/>
    </xf>
    <xf numFmtId="37" fontId="2" fillId="0" borderId="4" xfId="701" applyNumberFormat="1" applyFont="1" applyFill="1" applyBorder="1" applyAlignment="1">
      <alignment vertical="top"/>
    </xf>
    <xf numFmtId="166" fontId="2" fillId="0" borderId="1" xfId="701" applyNumberFormat="1" applyFont="1" applyFill="1" applyBorder="1" applyAlignment="1" applyProtection="1">
      <alignment horizontal="center" vertical="top"/>
    </xf>
    <xf numFmtId="166" fontId="2" fillId="0" borderId="2" xfId="701" applyNumberFormat="1" applyFont="1" applyFill="1" applyBorder="1" applyAlignment="1" applyProtection="1">
      <alignment vertical="top"/>
    </xf>
    <xf numFmtId="166" fontId="2" fillId="0" borderId="0" xfId="701" applyNumberFormat="1" applyFont="1" applyFill="1" applyBorder="1" applyAlignment="1" applyProtection="1">
      <alignment vertical="top"/>
    </xf>
    <xf numFmtId="166" fontId="2" fillId="0" borderId="3" xfId="701" applyNumberFormat="1" applyFont="1" applyFill="1" applyBorder="1" applyAlignment="1" applyProtection="1">
      <alignment vertical="top"/>
    </xf>
    <xf numFmtId="166" fontId="2" fillId="0" borderId="4" xfId="701" applyNumberFormat="1" applyFont="1" applyFill="1" applyBorder="1" applyAlignment="1" applyProtection="1">
      <alignment vertical="top"/>
    </xf>
    <xf numFmtId="166" fontId="2" fillId="0" borderId="5" xfId="701" applyNumberFormat="1" applyFont="1" applyFill="1" applyBorder="1" applyAlignment="1" applyProtection="1">
      <alignment vertical="top"/>
    </xf>
    <xf numFmtId="166" fontId="2" fillId="0" borderId="0" xfId="701" applyNumberFormat="1" applyFont="1" applyFill="1" applyBorder="1" applyAlignment="1" applyProtection="1">
      <alignment vertical="top"/>
    </xf>
    <xf numFmtId="37" fontId="2" fillId="0" borderId="5" xfId="701" applyNumberFormat="1" applyFont="1" applyFill="1" applyBorder="1" applyAlignment="1">
      <alignment vertical="top"/>
    </xf>
    <xf numFmtId="0" fontId="2" fillId="0" borderId="0" xfId="701" quotePrefix="1" applyNumberFormat="1" applyFont="1" applyFill="1" applyAlignment="1">
      <alignment horizontal="center" vertical="top" wrapText="1"/>
    </xf>
    <xf numFmtId="166" fontId="2" fillId="0" borderId="2" xfId="701" applyNumberFormat="1" applyFont="1" applyFill="1" applyBorder="1" applyAlignment="1">
      <alignment horizontal="center" vertical="top"/>
    </xf>
    <xf numFmtId="166" fontId="2" fillId="0" borderId="3" xfId="701" applyNumberFormat="1" applyFont="1" applyFill="1" applyBorder="1" applyAlignment="1">
      <alignment horizontal="center" vertical="top"/>
    </xf>
    <xf numFmtId="166" fontId="2" fillId="0" borderId="5" xfId="701" applyNumberFormat="1" applyFont="1" applyFill="1" applyBorder="1" applyAlignment="1">
      <alignment horizontal="center" vertical="top"/>
    </xf>
    <xf numFmtId="166" fontId="2" fillId="0" borderId="2" xfId="701" applyNumberFormat="1" applyFont="1" applyFill="1" applyBorder="1" applyAlignment="1" applyProtection="1">
      <alignment horizontal="right" vertical="top"/>
    </xf>
    <xf numFmtId="166" fontId="2" fillId="0" borderId="1" xfId="701" applyNumberFormat="1" applyFont="1" applyFill="1" applyBorder="1" applyAlignment="1" applyProtection="1">
      <alignment horizontal="right" vertical="top"/>
    </xf>
    <xf numFmtId="166" fontId="2" fillId="0" borderId="3" xfId="701" applyNumberFormat="1" applyFont="1" applyFill="1" applyBorder="1" applyAlignment="1" applyProtection="1">
      <alignment horizontal="right" vertical="top"/>
    </xf>
    <xf numFmtId="166" fontId="2" fillId="0" borderId="0" xfId="701" applyNumberFormat="1" applyFont="1" applyFill="1" applyBorder="1" applyAlignment="1" applyProtection="1">
      <alignment horizontal="right" vertical="top"/>
    </xf>
    <xf numFmtId="0" fontId="2" fillId="0" borderId="0" xfId="701" quotePrefix="1" applyNumberFormat="1" applyFont="1" applyFill="1" applyBorder="1" applyAlignment="1">
      <alignment horizontal="center" vertical="top"/>
    </xf>
    <xf numFmtId="0" fontId="2" fillId="0" borderId="0" xfId="701" applyNumberFormat="1" applyFont="1" applyFill="1" applyBorder="1" applyAlignment="1" applyProtection="1">
      <alignment horizontal="left" vertical="top"/>
    </xf>
    <xf numFmtId="0" fontId="2" fillId="0" borderId="0" xfId="701" quotePrefix="1" applyNumberFormat="1" applyFont="1" applyFill="1" applyAlignment="1">
      <alignment horizontal="center" vertical="top"/>
    </xf>
    <xf numFmtId="0" fontId="2" fillId="0" borderId="0" xfId="701" applyNumberFormat="1" applyFont="1" applyFill="1" applyAlignment="1">
      <alignment horizontal="center" vertical="top"/>
    </xf>
    <xf numFmtId="37" fontId="2" fillId="0" borderId="7" xfId="701" applyNumberFormat="1" applyFont="1" applyFill="1" applyBorder="1" applyAlignment="1">
      <alignment vertical="top"/>
    </xf>
    <xf numFmtId="0" fontId="2" fillId="0" borderId="6" xfId="701" applyNumberFormat="1" applyFont="1" applyFill="1" applyBorder="1" applyAlignment="1">
      <alignment vertical="top" wrapText="1"/>
    </xf>
    <xf numFmtId="10" fontId="2" fillId="0" borderId="0" xfId="701" applyNumberFormat="1" applyFont="1" applyFill="1" applyAlignment="1">
      <alignment vertical="top"/>
    </xf>
    <xf numFmtId="10" fontId="2" fillId="0" borderId="0" xfId="701" applyNumberFormat="1" applyFont="1" applyFill="1" applyBorder="1" applyAlignment="1">
      <alignment vertical="top"/>
    </xf>
    <xf numFmtId="1" fontId="2" fillId="0" borderId="0" xfId="701" applyNumberFormat="1" applyFont="1" applyFill="1" applyAlignment="1">
      <alignment horizontal="center" vertical="top"/>
    </xf>
    <xf numFmtId="37" fontId="2" fillId="0" borderId="1" xfId="701" applyNumberFormat="1" applyFont="1" applyFill="1" applyBorder="1" applyAlignment="1">
      <alignment vertical="top"/>
    </xf>
    <xf numFmtId="37" fontId="2" fillId="0" borderId="11" xfId="701" applyNumberFormat="1" applyFont="1" applyFill="1" applyBorder="1" applyAlignment="1">
      <alignment vertical="top"/>
    </xf>
    <xf numFmtId="37" fontId="2" fillId="0" borderId="16" xfId="701" applyNumberFormat="1" applyFont="1" applyFill="1" applyBorder="1" applyAlignment="1">
      <alignment vertical="top"/>
    </xf>
    <xf numFmtId="37" fontId="2" fillId="0" borderId="12" xfId="701" applyNumberFormat="1" applyFont="1" applyFill="1" applyBorder="1" applyAlignment="1">
      <alignment vertical="top"/>
    </xf>
    <xf numFmtId="37" fontId="2" fillId="0" borderId="13" xfId="701" applyNumberFormat="1" applyFont="1" applyFill="1" applyBorder="1" applyAlignment="1">
      <alignment vertical="top"/>
    </xf>
    <xf numFmtId="37" fontId="2" fillId="0" borderId="19" xfId="701" applyNumberFormat="1" applyFont="1" applyFill="1" applyBorder="1" applyAlignment="1">
      <alignment vertical="top"/>
    </xf>
    <xf numFmtId="37" fontId="2" fillId="0" borderId="20" xfId="701" applyNumberFormat="1" applyFont="1" applyFill="1" applyBorder="1" applyAlignment="1">
      <alignment vertical="top"/>
    </xf>
    <xf numFmtId="166" fontId="2" fillId="0" borderId="18" xfId="701" applyNumberFormat="1" applyFont="1" applyFill="1" applyBorder="1" applyAlignment="1">
      <alignment vertical="top"/>
    </xf>
    <xf numFmtId="165" fontId="2" fillId="0" borderId="0" xfId="701" applyNumberFormat="1" applyFont="1" applyFill="1" applyBorder="1" applyAlignment="1">
      <alignment vertical="top"/>
    </xf>
    <xf numFmtId="0" fontId="2" fillId="0" borderId="4" xfId="701" applyNumberFormat="1" applyFont="1" applyFill="1" applyBorder="1" applyAlignment="1">
      <alignment horizontal="center" vertical="top" wrapText="1"/>
    </xf>
    <xf numFmtId="166" fontId="2" fillId="0" borderId="1" xfId="701" applyNumberFormat="1" applyFont="1" applyFill="1" applyBorder="1" applyAlignment="1">
      <alignment horizontal="right" vertical="top"/>
    </xf>
    <xf numFmtId="9" fontId="2" fillId="0" borderId="0" xfId="701" applyNumberFormat="1" applyFont="1" applyFill="1" applyAlignment="1">
      <alignment horizontal="right" vertical="top"/>
    </xf>
    <xf numFmtId="166" fontId="2" fillId="0" borderId="5" xfId="701" applyNumberFormat="1" applyFont="1" applyFill="1" applyBorder="1" applyAlignment="1">
      <alignment horizontal="right" vertical="top"/>
    </xf>
    <xf numFmtId="9" fontId="2" fillId="0" borderId="0" xfId="701" applyNumberFormat="1" applyFont="1" applyFill="1" applyBorder="1" applyAlignment="1">
      <alignment vertical="top"/>
    </xf>
    <xf numFmtId="9" fontId="2" fillId="0" borderId="4" xfId="701" applyNumberFormat="1" applyFont="1" applyFill="1" applyBorder="1" applyAlignment="1">
      <alignment vertical="top"/>
    </xf>
    <xf numFmtId="0" fontId="2" fillId="0" borderId="0" xfId="701" applyNumberFormat="1" applyFont="1" applyFill="1" applyBorder="1" applyAlignment="1">
      <alignment vertical="top"/>
    </xf>
    <xf numFmtId="0" fontId="2" fillId="0" borderId="0" xfId="701" applyNumberFormat="1" applyFont="1" applyFill="1" applyAlignment="1">
      <alignment horizontal="right" vertical="top"/>
    </xf>
    <xf numFmtId="166" fontId="2" fillId="0" borderId="7" xfId="701" applyNumberFormat="1" applyFont="1" applyFill="1" applyBorder="1" applyAlignment="1">
      <alignment horizontal="center" vertical="top"/>
    </xf>
    <xf numFmtId="166" fontId="2" fillId="0" borderId="4" xfId="701" applyNumberFormat="1" applyFont="1" applyFill="1" applyBorder="1" applyAlignment="1">
      <alignment horizontal="center" vertical="top"/>
    </xf>
    <xf numFmtId="165" fontId="2" fillId="0" borderId="1" xfId="701" applyNumberFormat="1" applyFont="1" applyFill="1" applyBorder="1" applyAlignment="1">
      <alignment vertical="top"/>
    </xf>
    <xf numFmtId="0" fontId="2" fillId="0" borderId="0" xfId="701" applyNumberFormat="1" applyFont="1" applyFill="1" applyAlignment="1" applyProtection="1">
      <alignment horizontal="center" vertical="top"/>
    </xf>
    <xf numFmtId="38" fontId="2" fillId="0" borderId="2" xfId="701" applyNumberFormat="1" applyFont="1" applyFill="1" applyBorder="1" applyAlignment="1" applyProtection="1">
      <alignment vertical="top"/>
    </xf>
    <xf numFmtId="166" fontId="2" fillId="0" borderId="1" xfId="701" applyNumberFormat="1" applyFont="1" applyFill="1" applyBorder="1" applyAlignment="1">
      <alignment horizontal="center" vertical="top"/>
    </xf>
    <xf numFmtId="38" fontId="2" fillId="0" borderId="5" xfId="701" applyNumberFormat="1" applyFont="1" applyFill="1" applyBorder="1" applyAlignment="1">
      <alignment vertical="top"/>
    </xf>
    <xf numFmtId="49" fontId="2" fillId="0" borderId="8" xfId="701" applyNumberFormat="1" applyFont="1" applyFill="1" applyBorder="1" applyAlignment="1" applyProtection="1">
      <alignment horizontal="center" vertical="top"/>
    </xf>
    <xf numFmtId="166" fontId="2" fillId="0" borderId="6" xfId="701" applyNumberFormat="1" applyFont="1" applyFill="1" applyBorder="1" applyAlignment="1" applyProtection="1">
      <alignment horizontal="center" vertical="top"/>
    </xf>
    <xf numFmtId="0" fontId="2" fillId="0" borderId="0" xfId="701" applyNumberFormat="1" applyFont="1" applyFill="1" applyBorder="1" applyAlignment="1">
      <alignment horizontal="right" vertical="top" wrapText="1"/>
    </xf>
    <xf numFmtId="37" fontId="2" fillId="0" borderId="1" xfId="701" applyNumberFormat="1" applyFont="1" applyFill="1" applyBorder="1" applyAlignment="1">
      <alignment vertical="center" wrapText="1"/>
    </xf>
    <xf numFmtId="37" fontId="2" fillId="0" borderId="11" xfId="701" quotePrefix="1" applyNumberFormat="1" applyFont="1" applyFill="1" applyBorder="1" applyAlignment="1">
      <alignment horizontal="center" vertical="center" wrapText="1"/>
    </xf>
    <xf numFmtId="37" fontId="2" fillId="0" borderId="17" xfId="701" quotePrefix="1" applyNumberFormat="1" applyFont="1" applyFill="1" applyBorder="1" applyAlignment="1">
      <alignment horizontal="center" vertical="center" wrapText="1"/>
    </xf>
    <xf numFmtId="37" fontId="2" fillId="0" borderId="14" xfId="701" quotePrefix="1" applyNumberFormat="1" applyFont="1" applyFill="1" applyBorder="1" applyAlignment="1">
      <alignment horizontal="center" vertical="center" wrapText="1"/>
    </xf>
    <xf numFmtId="0" fontId="2" fillId="0" borderId="4" xfId="701" applyNumberFormat="1" applyFont="1" applyFill="1" applyBorder="1" applyAlignment="1">
      <alignment horizontal="center" vertical="center" wrapText="1"/>
    </xf>
    <xf numFmtId="0" fontId="2" fillId="0" borderId="6" xfId="701" applyNumberFormat="1" applyFont="1" applyFill="1" applyBorder="1" applyAlignment="1">
      <alignment horizontal="center" vertical="center" wrapText="1"/>
    </xf>
    <xf numFmtId="37" fontId="2" fillId="0" borderId="0" xfId="701" applyNumberFormat="1" applyFont="1" applyFill="1" applyAlignment="1">
      <alignment horizontal="right" vertical="top"/>
    </xf>
    <xf numFmtId="180" fontId="2" fillId="0" borderId="0" xfId="701" applyNumberFormat="1" applyFont="1" applyFill="1" applyAlignment="1">
      <alignment horizontal="center" vertical="top"/>
    </xf>
    <xf numFmtId="166" fontId="2" fillId="0" borderId="7" xfId="701" applyNumberFormat="1" applyFont="1" applyFill="1" applyBorder="1" applyAlignment="1" applyProtection="1">
      <alignment vertical="top"/>
    </xf>
    <xf numFmtId="37" fontId="2" fillId="0" borderId="0" xfId="701" quotePrefix="1" applyNumberFormat="1" applyFont="1" applyFill="1" applyBorder="1" applyAlignment="1" applyProtection="1">
      <alignment vertical="top"/>
    </xf>
    <xf numFmtId="165" fontId="2" fillId="0" borderId="3" xfId="701" applyNumberFormat="1" applyFont="1" applyFill="1" applyBorder="1" applyAlignment="1">
      <alignment vertical="top"/>
    </xf>
    <xf numFmtId="166" fontId="2" fillId="0" borderId="5" xfId="701" applyNumberFormat="1" applyFont="1" applyFill="1" applyBorder="1" applyAlignment="1" applyProtection="1">
      <alignment vertical="center"/>
    </xf>
    <xf numFmtId="0" fontId="2" fillId="0" borderId="8" xfId="701" applyNumberFormat="1" applyFont="1" applyFill="1" applyBorder="1" applyAlignment="1">
      <alignment horizontal="center" vertical="top" wrapText="1"/>
    </xf>
    <xf numFmtId="9" fontId="2" fillId="0" borderId="0" xfId="701" applyNumberFormat="1" applyFont="1" applyFill="1" applyBorder="1" applyAlignment="1">
      <alignment horizontal="right" vertical="top" wrapText="1"/>
    </xf>
    <xf numFmtId="166" fontId="2" fillId="0" borderId="2" xfId="701" applyNumberFormat="1" applyFont="1" applyFill="1" applyBorder="1" applyAlignment="1">
      <alignment vertical="center"/>
    </xf>
    <xf numFmtId="166" fontId="5" fillId="0" borderId="0" xfId="701" applyNumberFormat="1" applyFont="1" applyFill="1" applyAlignment="1" applyProtection="1">
      <alignment horizontal="center" vertical="center"/>
    </xf>
    <xf numFmtId="37" fontId="5" fillId="0" borderId="0" xfId="701" applyNumberFormat="1" applyFont="1" applyFill="1" applyAlignment="1">
      <alignment vertical="center"/>
    </xf>
    <xf numFmtId="166" fontId="5" fillId="0" borderId="0" xfId="701" applyNumberFormat="1" applyFont="1" applyFill="1" applyAlignment="1">
      <alignment vertical="center"/>
    </xf>
    <xf numFmtId="37" fontId="5" fillId="0" borderId="0" xfId="701" applyNumberFormat="1" applyFont="1" applyFill="1" applyAlignment="1">
      <alignment horizontal="center" vertical="center"/>
    </xf>
    <xf numFmtId="166" fontId="5" fillId="0" borderId="0" xfId="701" applyNumberFormat="1" applyFont="1" applyFill="1" applyBorder="1" applyAlignment="1">
      <alignment horizontal="center" vertical="center"/>
    </xf>
    <xf numFmtId="37" fontId="6" fillId="0" borderId="8" xfId="701" applyNumberFormat="1" applyFont="1" applyFill="1" applyBorder="1" applyAlignment="1">
      <alignment horizontal="center" vertical="center"/>
    </xf>
    <xf numFmtId="37" fontId="6" fillId="0" borderId="17" xfId="701" applyNumberFormat="1" applyFont="1" applyFill="1" applyBorder="1" applyAlignment="1">
      <alignment vertical="center"/>
    </xf>
    <xf numFmtId="37" fontId="5" fillId="0" borderId="0" xfId="701" applyNumberFormat="1" applyFont="1" applyFill="1" applyBorder="1" applyAlignment="1">
      <alignment vertical="center"/>
    </xf>
    <xf numFmtId="0" fontId="6" fillId="0" borderId="0" xfId="701" applyNumberFormat="1" applyFont="1" applyFill="1" applyAlignment="1" applyProtection="1">
      <alignment horizontal="left" vertical="center"/>
    </xf>
    <xf numFmtId="0" fontId="5" fillId="0" borderId="0" xfId="701" applyNumberFormat="1" applyFont="1" applyFill="1" applyAlignment="1">
      <alignment vertical="center"/>
    </xf>
    <xf numFmtId="49" fontId="6" fillId="0" borderId="3" xfId="701" applyNumberFormat="1" applyFont="1" applyFill="1" applyBorder="1" applyAlignment="1" applyProtection="1">
      <alignment horizontal="center" vertical="center"/>
    </xf>
    <xf numFmtId="166" fontId="6" fillId="0" borderId="4" xfId="701" applyNumberFormat="1" applyFont="1" applyFill="1" applyBorder="1" applyAlignment="1">
      <alignment horizontal="center" vertical="center"/>
    </xf>
    <xf numFmtId="0" fontId="5" fillId="0" borderId="0" xfId="701" applyNumberFormat="1" applyFont="1" applyFill="1"/>
    <xf numFmtId="0" fontId="5" fillId="0" borderId="0" xfId="701" applyNumberFormat="1" applyFont="1" applyFill="1" applyAlignment="1" applyProtection="1">
      <alignment horizontal="left" vertical="center"/>
    </xf>
    <xf numFmtId="1" fontId="5" fillId="0" borderId="0" xfId="701" applyNumberFormat="1" applyFont="1" applyFill="1" applyBorder="1" applyAlignment="1">
      <alignment horizontal="center" vertical="center"/>
    </xf>
    <xf numFmtId="166" fontId="6" fillId="0" borderId="0" xfId="701" applyNumberFormat="1" applyFont="1" applyFill="1" applyBorder="1" applyAlignment="1">
      <alignment horizontal="right" vertical="center"/>
    </xf>
    <xf numFmtId="1" fontId="6" fillId="0" borderId="0" xfId="701" applyNumberFormat="1" applyFont="1" applyFill="1" applyBorder="1" applyAlignment="1">
      <alignment horizontal="center" vertical="center"/>
    </xf>
    <xf numFmtId="37" fontId="5" fillId="0" borderId="0" xfId="701" applyNumberFormat="1" applyFont="1" applyFill="1" applyAlignment="1">
      <alignment horizontal="right" vertical="center"/>
    </xf>
    <xf numFmtId="1" fontId="5" fillId="0" borderId="0" xfId="701" applyNumberFormat="1" applyFont="1" applyFill="1" applyBorder="1" applyAlignment="1">
      <alignment horizontal="right" vertical="center"/>
    </xf>
    <xf numFmtId="0" fontId="6" fillId="0" borderId="0" xfId="701" applyNumberFormat="1" applyFont="1" applyFill="1" applyAlignment="1">
      <alignment horizontal="left" vertical="center"/>
    </xf>
    <xf numFmtId="166" fontId="5" fillId="0" borderId="0" xfId="701" applyNumberFormat="1" applyFont="1" applyFill="1" applyAlignment="1">
      <alignment horizontal="right" vertical="center"/>
    </xf>
    <xf numFmtId="166" fontId="5" fillId="0" borderId="2" xfId="701" applyNumberFormat="1" applyFont="1" applyFill="1" applyBorder="1" applyAlignment="1">
      <alignment horizontal="right" vertical="center"/>
    </xf>
    <xf numFmtId="166" fontId="5" fillId="0" borderId="0" xfId="701" applyNumberFormat="1" applyFont="1" applyFill="1" applyBorder="1" applyAlignment="1">
      <alignment horizontal="right" vertical="center"/>
    </xf>
    <xf numFmtId="166" fontId="5" fillId="0" borderId="1" xfId="701" applyNumberFormat="1" applyFont="1" applyFill="1" applyBorder="1" applyAlignment="1">
      <alignment horizontal="right" vertical="center"/>
    </xf>
    <xf numFmtId="166" fontId="5" fillId="0" borderId="0" xfId="701" applyNumberFormat="1" applyFont="1" applyFill="1"/>
    <xf numFmtId="1" fontId="5" fillId="0" borderId="0" xfId="701" quotePrefix="1" applyNumberFormat="1" applyFont="1" applyFill="1" applyBorder="1" applyAlignment="1">
      <alignment horizontal="center" vertical="center"/>
    </xf>
    <xf numFmtId="166" fontId="5" fillId="0" borderId="3" xfId="701" quotePrefix="1" applyNumberFormat="1" applyFont="1" applyFill="1" applyBorder="1" applyAlignment="1">
      <alignment horizontal="right" vertical="center"/>
    </xf>
    <xf numFmtId="166" fontId="5" fillId="0" borderId="0" xfId="701" quotePrefix="1" applyNumberFormat="1" applyFont="1" applyFill="1" applyBorder="1" applyAlignment="1">
      <alignment horizontal="right" vertical="center"/>
    </xf>
    <xf numFmtId="1" fontId="5" fillId="0" borderId="0" xfId="701" applyNumberFormat="1" applyFont="1" applyFill="1" applyAlignment="1">
      <alignment horizontal="right" vertical="center"/>
    </xf>
    <xf numFmtId="166" fontId="5" fillId="0" borderId="0" xfId="701" applyNumberFormat="1" applyFont="1" applyFill="1" applyBorder="1" applyAlignment="1">
      <alignment vertical="center"/>
    </xf>
    <xf numFmtId="3" fontId="6" fillId="0" borderId="5" xfId="701" applyNumberFormat="1" applyFont="1" applyFill="1" applyBorder="1" applyAlignment="1" applyProtection="1">
      <alignment horizontal="right" vertical="center"/>
    </xf>
    <xf numFmtId="166" fontId="6" fillId="0" borderId="0" xfId="701" applyNumberFormat="1" applyFont="1" applyFill="1" applyBorder="1" applyAlignment="1">
      <alignment vertical="center"/>
    </xf>
    <xf numFmtId="166" fontId="5" fillId="0" borderId="0" xfId="701" applyNumberFormat="1" applyFont="1" applyFill="1" applyBorder="1" applyAlignment="1" applyProtection="1">
      <alignment horizontal="right" vertical="center"/>
    </xf>
    <xf numFmtId="49" fontId="6" fillId="0" borderId="0" xfId="701" applyNumberFormat="1" applyFont="1" applyFill="1" applyAlignment="1" applyProtection="1">
      <alignment horizontal="left" vertical="center"/>
    </xf>
    <xf numFmtId="166" fontId="6" fillId="0" borderId="4" xfId="701" applyNumberFormat="1" applyFont="1" applyFill="1" applyBorder="1" applyAlignment="1" applyProtection="1">
      <alignment horizontal="right" vertical="center"/>
    </xf>
    <xf numFmtId="166" fontId="6" fillId="0" borderId="4" xfId="701" applyNumberFormat="1" applyFont="1" applyFill="1" applyBorder="1" applyAlignment="1">
      <alignment horizontal="right" vertical="center"/>
    </xf>
    <xf numFmtId="166" fontId="5" fillId="0" borderId="2" xfId="701" quotePrefix="1" applyNumberFormat="1" applyFont="1" applyFill="1" applyBorder="1" applyAlignment="1">
      <alignment vertical="center"/>
    </xf>
    <xf numFmtId="166" fontId="5" fillId="0" borderId="1" xfId="701" quotePrefix="1" applyNumberFormat="1" applyFont="1" applyFill="1" applyBorder="1" applyAlignment="1">
      <alignment vertical="center"/>
    </xf>
    <xf numFmtId="0" fontId="5" fillId="0" borderId="0" xfId="701" applyNumberFormat="1" applyFont="1" applyFill="1" applyAlignment="1" applyProtection="1">
      <alignment vertical="center"/>
    </xf>
    <xf numFmtId="166" fontId="5" fillId="0" borderId="3" xfId="701" applyNumberFormat="1" applyFont="1" applyFill="1" applyBorder="1" applyAlignment="1">
      <alignment vertical="center"/>
    </xf>
    <xf numFmtId="166" fontId="6" fillId="0" borderId="0" xfId="701" applyNumberFormat="1" applyFont="1" applyFill="1" applyBorder="1" applyAlignment="1" applyProtection="1">
      <alignment horizontal="right" vertical="center"/>
    </xf>
    <xf numFmtId="37" fontId="5" fillId="0" borderId="1" xfId="701" applyNumberFormat="1" applyFont="1" applyFill="1" applyBorder="1" applyAlignment="1">
      <alignment horizontal="right" vertical="center"/>
    </xf>
    <xf numFmtId="37" fontId="5" fillId="0" borderId="1" xfId="701" quotePrefix="1" applyNumberFormat="1" applyFont="1" applyFill="1" applyBorder="1" applyAlignment="1">
      <alignment horizontal="right" vertical="center"/>
    </xf>
    <xf numFmtId="166" fontId="5" fillId="0" borderId="3" xfId="701" applyNumberFormat="1" applyFont="1" applyFill="1" applyBorder="1" applyAlignment="1">
      <alignment horizontal="right" vertical="center"/>
    </xf>
    <xf numFmtId="166" fontId="5" fillId="0" borderId="0" xfId="701" applyNumberFormat="1" applyFont="1" applyFill="1" applyBorder="1" applyAlignment="1" applyProtection="1">
      <alignment vertical="center"/>
    </xf>
    <xf numFmtId="166" fontId="6" fillId="0" borderId="6" xfId="701" applyNumberFormat="1" applyFont="1" applyFill="1" applyBorder="1" applyAlignment="1" applyProtection="1">
      <alignment horizontal="right" vertical="center"/>
    </xf>
    <xf numFmtId="166" fontId="6" fillId="0" borderId="0" xfId="701" applyNumberFormat="1" applyFont="1" applyFill="1" applyAlignment="1">
      <alignment vertical="center"/>
    </xf>
    <xf numFmtId="166" fontId="6" fillId="0" borderId="7" xfId="701" applyNumberFormat="1" applyFont="1" applyFill="1" applyBorder="1" applyAlignment="1" applyProtection="1">
      <alignment horizontal="right" vertical="center"/>
    </xf>
    <xf numFmtId="37" fontId="5" fillId="0" borderId="0" xfId="701" quotePrefix="1" applyNumberFormat="1" applyFont="1" applyFill="1" applyAlignment="1">
      <alignment horizontal="center" vertical="center"/>
    </xf>
    <xf numFmtId="37" fontId="6" fillId="0" borderId="0" xfId="701" applyNumberFormat="1" applyFont="1" applyFill="1" applyAlignment="1">
      <alignment vertical="center"/>
    </xf>
    <xf numFmtId="39" fontId="6" fillId="0" borderId="5" xfId="701" applyNumberFormat="1" applyFont="1" applyFill="1" applyBorder="1" applyAlignment="1">
      <alignment vertical="center"/>
    </xf>
    <xf numFmtId="0" fontId="5" fillId="0" borderId="0" xfId="701" applyNumberFormat="1" applyFont="1" applyFill="1" applyBorder="1" applyAlignment="1">
      <alignment vertical="center"/>
    </xf>
    <xf numFmtId="37" fontId="5" fillId="0" borderId="0" xfId="701" applyNumberFormat="1" applyFont="1" applyFill="1" applyBorder="1" applyAlignment="1">
      <alignment horizontal="center" vertical="center"/>
    </xf>
    <xf numFmtId="49" fontId="5" fillId="0" borderId="0" xfId="701" applyNumberFormat="1" applyFont="1" applyFill="1" applyAlignment="1">
      <alignment horizontal="left" vertical="center"/>
    </xf>
    <xf numFmtId="49" fontId="5" fillId="0" borderId="0" xfId="701" applyNumberFormat="1" applyFont="1" applyFill="1" applyBorder="1" applyAlignment="1">
      <alignment vertical="center"/>
    </xf>
    <xf numFmtId="49" fontId="5" fillId="0" borderId="0" xfId="701" applyNumberFormat="1" applyFont="1" applyFill="1" applyAlignment="1" applyProtection="1">
      <alignment horizontal="left" vertical="center"/>
    </xf>
    <xf numFmtId="37" fontId="6" fillId="0" borderId="0" xfId="701" applyNumberFormat="1" applyFont="1" applyFill="1" applyBorder="1" applyAlignment="1">
      <alignment vertical="center"/>
    </xf>
    <xf numFmtId="37" fontId="5" fillId="0" borderId="0" xfId="701" applyNumberFormat="1" applyFont="1" applyFill="1"/>
    <xf numFmtId="37" fontId="5" fillId="0" borderId="0" xfId="701" applyNumberFormat="1" applyFont="1" applyFill="1" applyAlignment="1">
      <alignment vertical="top"/>
    </xf>
    <xf numFmtId="37" fontId="5" fillId="0" borderId="0" xfId="701" applyNumberFormat="1" applyFont="1" applyFill="1" applyBorder="1" applyAlignment="1">
      <alignment horizontal="center"/>
    </xf>
    <xf numFmtId="49" fontId="5" fillId="0" borderId="0" xfId="701" applyNumberFormat="1" applyFont="1" applyFill="1" applyBorder="1" applyAlignment="1" applyProtection="1">
      <alignment horizontal="center"/>
    </xf>
    <xf numFmtId="49" fontId="6" fillId="0" borderId="3" xfId="701" applyNumberFormat="1" applyFont="1" applyFill="1" applyBorder="1" applyAlignment="1" applyProtection="1">
      <alignment horizontal="center"/>
    </xf>
    <xf numFmtId="37" fontId="6" fillId="0" borderId="4" xfId="701" applyNumberFormat="1" applyFont="1" applyFill="1" applyBorder="1" applyAlignment="1">
      <alignment horizontal="center" vertical="center"/>
    </xf>
    <xf numFmtId="37" fontId="6" fillId="0" borderId="0" xfId="701" applyNumberFormat="1" applyFont="1" applyFill="1" applyAlignment="1" applyProtection="1">
      <alignment horizontal="left"/>
    </xf>
    <xf numFmtId="37" fontId="5" fillId="0" borderId="0" xfId="701" applyNumberFormat="1" applyFont="1" applyFill="1" applyAlignment="1" applyProtection="1">
      <alignment horizontal="left"/>
    </xf>
    <xf numFmtId="37" fontId="5" fillId="0" borderId="0" xfId="701" applyNumberFormat="1" applyFont="1" applyFill="1" applyAlignment="1">
      <alignment horizontal="center"/>
    </xf>
    <xf numFmtId="37" fontId="5" fillId="0" borderId="0" xfId="701" applyNumberFormat="1" applyFont="1" applyFill="1" applyBorder="1" applyAlignment="1">
      <alignment horizontal="right"/>
    </xf>
    <xf numFmtId="166" fontId="5" fillId="0" borderId="2" xfId="701" applyNumberFormat="1" applyFont="1" applyFill="1" applyBorder="1" applyAlignment="1">
      <alignment horizontal="right"/>
    </xf>
    <xf numFmtId="166" fontId="5" fillId="0" borderId="1" xfId="701" applyNumberFormat="1" applyFont="1" applyFill="1" applyBorder="1" applyAlignment="1">
      <alignment horizontal="right"/>
    </xf>
    <xf numFmtId="166" fontId="5" fillId="0" borderId="3" xfId="701" applyNumberFormat="1" applyFont="1" applyFill="1" applyBorder="1" applyAlignment="1">
      <alignment horizontal="right"/>
    </xf>
    <xf numFmtId="37" fontId="5" fillId="0" borderId="0" xfId="701" applyNumberFormat="1" applyFont="1" applyFill="1" applyAlignment="1">
      <alignment horizontal="right"/>
    </xf>
    <xf numFmtId="166" fontId="6" fillId="0" borderId="0" xfId="701" applyNumberFormat="1" applyFont="1" applyFill="1" applyAlignment="1">
      <alignment horizontal="right"/>
    </xf>
    <xf numFmtId="37" fontId="6" fillId="0" borderId="0" xfId="701" applyNumberFormat="1" applyFont="1" applyFill="1" applyAlignment="1">
      <alignment horizontal="right"/>
    </xf>
    <xf numFmtId="166" fontId="5" fillId="0" borderId="0" xfId="701" applyNumberFormat="1" applyFont="1" applyFill="1" applyBorder="1" applyAlignment="1">
      <alignment horizontal="right"/>
    </xf>
    <xf numFmtId="166" fontId="6" fillId="0" borderId="6" xfId="701" applyNumberFormat="1" applyFont="1" applyFill="1" applyBorder="1" applyAlignment="1">
      <alignment horizontal="right"/>
    </xf>
    <xf numFmtId="37" fontId="6" fillId="0" borderId="0" xfId="701" applyNumberFormat="1" applyFont="1" applyFill="1" applyBorder="1" applyAlignment="1">
      <alignment horizontal="right"/>
    </xf>
    <xf numFmtId="166" fontId="5" fillId="0" borderId="0" xfId="701" applyNumberFormat="1" applyFont="1" applyFill="1" applyBorder="1" applyAlignment="1"/>
    <xf numFmtId="166" fontId="5" fillId="0" borderId="2" xfId="701" applyNumberFormat="1" applyFont="1" applyFill="1" applyBorder="1" applyAlignment="1"/>
    <xf numFmtId="166" fontId="5" fillId="0" borderId="1" xfId="701" applyNumberFormat="1" applyFont="1" applyFill="1" applyBorder="1" applyAlignment="1"/>
    <xf numFmtId="166" fontId="5" fillId="0" borderId="3" xfId="701" applyNumberFormat="1" applyFont="1" applyFill="1" applyBorder="1" applyAlignment="1"/>
    <xf numFmtId="166" fontId="6" fillId="0" borderId="4" xfId="701" applyNumberFormat="1" applyFont="1" applyFill="1" applyBorder="1" applyAlignment="1"/>
    <xf numFmtId="166" fontId="6" fillId="0" borderId="0" xfId="701" applyNumberFormat="1" applyFont="1" applyFill="1" applyBorder="1" applyAlignment="1"/>
    <xf numFmtId="166" fontId="5" fillId="0" borderId="0" xfId="701" applyNumberFormat="1" applyFont="1" applyFill="1" applyBorder="1" applyAlignment="1" applyProtection="1">
      <alignment horizontal="right"/>
    </xf>
    <xf numFmtId="166" fontId="6" fillId="0" borderId="0" xfId="701" applyNumberFormat="1" applyFont="1" applyFill="1" applyBorder="1" applyAlignment="1" applyProtection="1">
      <alignment horizontal="right"/>
    </xf>
    <xf numFmtId="166" fontId="5" fillId="0" borderId="0" xfId="701" applyNumberFormat="1" applyFont="1" applyFill="1" applyBorder="1" applyAlignment="1">
      <alignment horizontal="center"/>
    </xf>
    <xf numFmtId="37" fontId="5" fillId="0" borderId="1" xfId="701" applyNumberFormat="1" applyFont="1" applyFill="1" applyBorder="1"/>
    <xf numFmtId="37" fontId="5" fillId="0" borderId="0" xfId="701" applyNumberFormat="1" applyFont="1" applyFill="1" applyAlignment="1"/>
    <xf numFmtId="166" fontId="5" fillId="0" borderId="4" xfId="701" applyNumberFormat="1" applyFont="1" applyFill="1" applyBorder="1" applyAlignment="1"/>
    <xf numFmtId="166" fontId="5" fillId="0" borderId="0" xfId="701" applyNumberFormat="1" applyFont="1" applyFill="1" applyAlignment="1">
      <alignment horizontal="right"/>
    </xf>
    <xf numFmtId="0" fontId="5" fillId="0" borderId="0" xfId="701" applyNumberFormat="1" applyFont="1" applyFill="1" applyBorder="1" applyAlignment="1">
      <alignment horizontal="center"/>
    </xf>
    <xf numFmtId="166" fontId="5" fillId="0" borderId="6" xfId="701" applyNumberFormat="1" applyFont="1" applyFill="1" applyBorder="1" applyAlignment="1">
      <alignment horizontal="right"/>
    </xf>
    <xf numFmtId="0" fontId="5" fillId="0" borderId="0" xfId="701" applyNumberFormat="1" applyFont="1" applyFill="1" applyBorder="1" applyAlignment="1"/>
    <xf numFmtId="166" fontId="6" fillId="0" borderId="5" xfId="701" applyNumberFormat="1" applyFont="1" applyFill="1" applyBorder="1" applyAlignment="1">
      <alignment horizontal="right"/>
    </xf>
    <xf numFmtId="166" fontId="6" fillId="0" borderId="0" xfId="701" applyNumberFormat="1" applyFont="1" applyFill="1" applyBorder="1" applyAlignment="1">
      <alignment horizontal="right"/>
    </xf>
    <xf numFmtId="37" fontId="5" fillId="0" borderId="0" xfId="701" applyNumberFormat="1" applyFont="1" applyFill="1" applyBorder="1"/>
    <xf numFmtId="0" fontId="6" fillId="0" borderId="0" xfId="701" applyNumberFormat="1" applyFont="1" applyFill="1" applyBorder="1" applyAlignment="1"/>
    <xf numFmtId="37" fontId="5" fillId="0" borderId="0" xfId="701" applyNumberFormat="1" applyFont="1" applyFill="1" applyBorder="1" applyAlignment="1">
      <alignment horizontal="left" vertical="top"/>
    </xf>
    <xf numFmtId="165" fontId="5" fillId="0" borderId="0" xfId="701" applyNumberFormat="1" applyFont="1" applyFill="1" applyBorder="1" applyAlignment="1">
      <alignment horizontal="right" vertical="top"/>
    </xf>
    <xf numFmtId="165" fontId="6" fillId="0" borderId="7" xfId="701" applyNumberFormat="1" applyFont="1" applyFill="1" applyBorder="1" applyAlignment="1">
      <alignment horizontal="right"/>
    </xf>
    <xf numFmtId="165" fontId="6" fillId="0" borderId="0" xfId="701" applyNumberFormat="1" applyFont="1" applyFill="1" applyBorder="1" applyAlignment="1">
      <alignment horizontal="right" vertical="top"/>
    </xf>
    <xf numFmtId="0" fontId="5" fillId="0" borderId="0" xfId="701" applyNumberFormat="1" applyFont="1" applyFill="1" applyBorder="1" applyAlignment="1">
      <alignment vertical="top"/>
    </xf>
    <xf numFmtId="165" fontId="5" fillId="0" borderId="0" xfId="701" applyNumberFormat="1" applyFont="1" applyFill="1" applyBorder="1" applyAlignment="1">
      <alignment horizontal="center"/>
    </xf>
    <xf numFmtId="37" fontId="6" fillId="0" borderId="0" xfId="701" applyNumberFormat="1" applyFont="1" applyFill="1"/>
    <xf numFmtId="37" fontId="6" fillId="0" borderId="0" xfId="701" applyNumberFormat="1" applyFont="1" applyFill="1" applyAlignment="1">
      <alignment horizontal="center"/>
    </xf>
    <xf numFmtId="37" fontId="5" fillId="0" borderId="0" xfId="701" applyNumberFormat="1" applyFont="1" applyFill="1" applyBorder="1" applyAlignment="1"/>
    <xf numFmtId="49" fontId="5" fillId="0" borderId="0" xfId="701" applyNumberFormat="1" applyFont="1" applyFill="1" applyAlignment="1">
      <alignment horizontal="left"/>
    </xf>
    <xf numFmtId="49" fontId="5" fillId="0" borderId="0" xfId="701" applyNumberFormat="1" applyFont="1" applyFill="1" applyBorder="1" applyAlignment="1"/>
    <xf numFmtId="49" fontId="5" fillId="0" borderId="0" xfId="701" applyNumberFormat="1" applyFont="1" applyFill="1" applyAlignment="1" applyProtection="1">
      <alignment horizontal="left"/>
    </xf>
    <xf numFmtId="37" fontId="6" fillId="0" borderId="0" xfId="701" applyNumberFormat="1" applyFont="1" applyFill="1" applyBorder="1" applyAlignment="1">
      <alignment horizontal="center" vertical="center"/>
    </xf>
    <xf numFmtId="37" fontId="6" fillId="0" borderId="8" xfId="701" applyNumberFormat="1" applyFont="1" applyFill="1" applyBorder="1" applyAlignment="1">
      <alignment horizontal="center" vertical="center" wrapText="1"/>
    </xf>
    <xf numFmtId="0" fontId="6" fillId="0" borderId="8" xfId="701" applyNumberFormat="1" applyFont="1" applyFill="1" applyBorder="1" applyAlignment="1">
      <alignment horizontal="center" vertical="center" wrapText="1"/>
    </xf>
    <xf numFmtId="37" fontId="6" fillId="0" borderId="2" xfId="701" applyNumberFormat="1" applyFont="1" applyFill="1" applyBorder="1"/>
    <xf numFmtId="37" fontId="6" fillId="0" borderId="2" xfId="701" applyNumberFormat="1" applyFont="1" applyFill="1" applyBorder="1" applyAlignment="1">
      <alignment horizontal="center" wrapText="1"/>
    </xf>
    <xf numFmtId="165" fontId="5" fillId="0" borderId="0" xfId="701" applyNumberFormat="1" applyFont="1" applyFill="1" applyBorder="1" applyAlignment="1">
      <alignment horizontal="left" vertical="center"/>
    </xf>
    <xf numFmtId="166" fontId="5" fillId="0" borderId="0" xfId="701" applyNumberFormat="1" applyFont="1" applyFill="1" applyBorder="1" applyAlignment="1">
      <alignment horizontal="left" vertical="center"/>
    </xf>
    <xf numFmtId="37" fontId="6" fillId="0" borderId="5" xfId="701" applyNumberFormat="1" applyFont="1" applyFill="1" applyBorder="1" applyAlignment="1">
      <alignment vertical="center"/>
    </xf>
    <xf numFmtId="166" fontId="6" fillId="0" borderId="5" xfId="701" applyNumberFormat="1" applyFont="1" applyFill="1" applyBorder="1" applyAlignment="1">
      <alignment vertical="center"/>
    </xf>
    <xf numFmtId="37" fontId="5" fillId="0" borderId="0" xfId="701" applyNumberFormat="1" applyFont="1" applyFill="1" applyBorder="1" applyAlignment="1">
      <alignment horizontal="center" vertical="center" wrapText="1"/>
    </xf>
    <xf numFmtId="37" fontId="5" fillId="0" borderId="9" xfId="701" applyNumberFormat="1" applyFont="1" applyFill="1" applyBorder="1" applyAlignment="1">
      <alignment horizontal="center" vertical="center" wrapText="1"/>
    </xf>
    <xf numFmtId="0" fontId="5" fillId="0" borderId="9" xfId="701" applyNumberFormat="1" applyFont="1" applyFill="1" applyBorder="1" applyAlignment="1">
      <alignment horizontal="center" vertical="center" wrapText="1"/>
    </xf>
    <xf numFmtId="37" fontId="5" fillId="0" borderId="9" xfId="701" applyNumberFormat="1" applyFont="1" applyFill="1" applyBorder="1" applyAlignment="1">
      <alignment vertical="center"/>
    </xf>
    <xf numFmtId="166" fontId="5" fillId="0" borderId="0" xfId="701" applyNumberFormat="1" applyFont="1" applyFill="1" applyBorder="1"/>
    <xf numFmtId="37" fontId="5" fillId="0" borderId="0" xfId="701" applyNumberFormat="1" applyFont="1" applyFill="1" applyAlignment="1">
      <alignment horizontal="right" vertical="top"/>
    </xf>
    <xf numFmtId="37" fontId="6" fillId="0" borderId="4" xfId="701" applyNumberFormat="1" applyFont="1" applyFill="1" applyBorder="1"/>
    <xf numFmtId="166" fontId="5" fillId="0" borderId="1" xfId="701" applyNumberFormat="1" applyFont="1" applyFill="1" applyBorder="1"/>
    <xf numFmtId="38" fontId="5" fillId="0" borderId="0" xfId="701" applyNumberFormat="1" applyFont="1" applyFill="1" applyAlignment="1"/>
    <xf numFmtId="166" fontId="5" fillId="0" borderId="3" xfId="701" applyNumberFormat="1" applyFont="1" applyFill="1" applyBorder="1"/>
    <xf numFmtId="166" fontId="6" fillId="0" borderId="6" xfId="701" applyNumberFormat="1" applyFont="1" applyFill="1" applyBorder="1"/>
    <xf numFmtId="38" fontId="6" fillId="0" borderId="0" xfId="701" applyNumberFormat="1" applyFont="1" applyFill="1" applyAlignment="1"/>
    <xf numFmtId="166" fontId="5" fillId="0" borderId="2" xfId="701" applyNumberFormat="1" applyFont="1" applyFill="1" applyBorder="1"/>
    <xf numFmtId="166" fontId="6" fillId="0" borderId="4" xfId="701" applyNumberFormat="1" applyFont="1" applyFill="1" applyBorder="1"/>
    <xf numFmtId="166" fontId="6" fillId="0" borderId="5" xfId="701" applyNumberFormat="1" applyFont="1" applyFill="1" applyBorder="1"/>
    <xf numFmtId="174" fontId="5" fillId="0" borderId="0" xfId="701" applyNumberFormat="1" applyFont="1" applyFill="1" applyAlignment="1">
      <alignment horizontal="center"/>
    </xf>
    <xf numFmtId="39" fontId="6" fillId="0" borderId="7" xfId="701" applyNumberFormat="1" applyFont="1" applyFill="1" applyBorder="1"/>
    <xf numFmtId="0" fontId="5" fillId="0" borderId="0" xfId="701" applyNumberFormat="1" applyFont="1" applyFill="1" applyBorder="1"/>
    <xf numFmtId="49" fontId="5" fillId="0" borderId="0" xfId="701" applyNumberFormat="1" applyFont="1" applyFill="1" applyBorder="1" applyAlignment="1">
      <alignment horizontal="left" indent="8"/>
    </xf>
    <xf numFmtId="0" fontId="8" fillId="0" borderId="0" xfId="0" applyFont="1" applyFill="1"/>
    <xf numFmtId="0" fontId="7" fillId="0" borderId="0" xfId="0" applyFont="1" applyFill="1"/>
    <xf numFmtId="0" fontId="8" fillId="0" borderId="0" xfId="0" applyFont="1" applyFill="1" applyAlignment="1">
      <alignment horizontal="left" wrapText="1"/>
    </xf>
    <xf numFmtId="166" fontId="5" fillId="0" borderId="1" xfId="3" applyNumberFormat="1" applyFont="1" applyFill="1" applyBorder="1"/>
    <xf numFmtId="37" fontId="6" fillId="0" borderId="0" xfId="701" applyNumberFormat="1" applyFont="1" applyFill="1" applyAlignment="1" applyProtection="1">
      <alignment horizontal="center" vertical="top"/>
    </xf>
    <xf numFmtId="0" fontId="4" fillId="0" borderId="0" xfId="701" applyNumberFormat="1" applyFont="1" applyFill="1" applyAlignment="1" applyProtection="1">
      <alignment horizontal="center" vertical="center"/>
    </xf>
    <xf numFmtId="0" fontId="6" fillId="0" borderId="0" xfId="701" applyNumberFormat="1" applyFont="1" applyFill="1" applyAlignment="1" applyProtection="1">
      <alignment horizontal="center" vertical="center"/>
    </xf>
    <xf numFmtId="0" fontId="6" fillId="0" borderId="0" xfId="701" applyNumberFormat="1" applyFont="1" applyFill="1" applyAlignment="1">
      <alignment horizontal="center" vertical="center"/>
    </xf>
    <xf numFmtId="49" fontId="5" fillId="0" borderId="0" xfId="701" applyNumberFormat="1" applyFont="1" applyFill="1" applyBorder="1" applyAlignment="1">
      <alignment horizontal="left" vertical="center" indent="10"/>
    </xf>
    <xf numFmtId="166" fontId="6" fillId="0" borderId="0" xfId="701" applyNumberFormat="1" applyFont="1" applyFill="1" applyBorder="1" applyAlignment="1">
      <alignment horizontal="center" vertical="center"/>
    </xf>
    <xf numFmtId="37" fontId="6" fillId="0" borderId="14" xfId="701" applyNumberFormat="1" applyFont="1" applyFill="1" applyBorder="1" applyAlignment="1">
      <alignment horizontal="center" vertical="center"/>
    </xf>
    <xf numFmtId="37" fontId="6" fillId="0" borderId="17" xfId="701" applyNumberFormat="1" applyFont="1" applyFill="1" applyBorder="1" applyAlignment="1">
      <alignment horizontal="center" vertical="center"/>
    </xf>
    <xf numFmtId="0" fontId="5" fillId="0" borderId="0" xfId="701" applyNumberFormat="1" applyFont="1" applyFill="1" applyBorder="1" applyAlignment="1">
      <alignment horizontal="center" vertical="center"/>
    </xf>
    <xf numFmtId="37" fontId="5" fillId="0" borderId="0" xfId="701" applyNumberFormat="1" applyFont="1" applyFill="1" applyAlignment="1" applyProtection="1">
      <alignment horizontal="left"/>
    </xf>
    <xf numFmtId="37" fontId="6" fillId="0" borderId="0" xfId="701" applyNumberFormat="1" applyFont="1" applyFill="1" applyAlignment="1" applyProtection="1">
      <alignment horizontal="left"/>
    </xf>
    <xf numFmtId="0" fontId="5" fillId="0" borderId="0" xfId="701" applyNumberFormat="1" applyFont="1" applyFill="1" applyBorder="1" applyAlignment="1">
      <alignment horizontal="center" vertical="top"/>
    </xf>
    <xf numFmtId="37" fontId="6" fillId="0" borderId="0" xfId="701" applyNumberFormat="1" applyFont="1" applyFill="1" applyBorder="1" applyAlignment="1">
      <alignment horizontal="left"/>
    </xf>
    <xf numFmtId="0" fontId="5" fillId="0" borderId="0" xfId="701" applyNumberFormat="1" applyFont="1" applyFill="1" applyAlignment="1"/>
    <xf numFmtId="37" fontId="5" fillId="0" borderId="0" xfId="701" applyNumberFormat="1" applyFont="1" applyFill="1" applyAlignment="1"/>
    <xf numFmtId="0" fontId="6" fillId="0" borderId="0" xfId="701" applyNumberFormat="1" applyFont="1" applyFill="1" applyAlignment="1"/>
    <xf numFmtId="37" fontId="6" fillId="0" borderId="0" xfId="701" applyNumberFormat="1" applyFont="1" applyFill="1" applyAlignment="1"/>
    <xf numFmtId="37" fontId="6" fillId="0" borderId="0" xfId="701" applyNumberFormat="1" applyFont="1" applyFill="1" applyBorder="1" applyAlignment="1">
      <alignment horizontal="center" vertical="center"/>
    </xf>
    <xf numFmtId="37" fontId="6" fillId="0" borderId="14" xfId="701" applyNumberFormat="1" applyFont="1" applyFill="1" applyBorder="1" applyAlignment="1">
      <alignment horizontal="center"/>
    </xf>
    <xf numFmtId="37" fontId="6" fillId="0" borderId="6" xfId="701" applyNumberFormat="1" applyFont="1" applyFill="1" applyBorder="1" applyAlignment="1">
      <alignment horizontal="center"/>
    </xf>
    <xf numFmtId="37" fontId="6" fillId="0" borderId="17" xfId="701" applyNumberFormat="1" applyFont="1" applyFill="1" applyBorder="1" applyAlignment="1">
      <alignment horizontal="center"/>
    </xf>
    <xf numFmtId="166" fontId="4" fillId="0" borderId="0" xfId="701" applyNumberFormat="1" applyFont="1" applyFill="1" applyAlignment="1" applyProtection="1">
      <alignment horizontal="center"/>
    </xf>
    <xf numFmtId="166" fontId="6" fillId="0" borderId="0" xfId="701" applyNumberFormat="1" applyFont="1" applyFill="1" applyAlignment="1" applyProtection="1">
      <alignment horizontal="center"/>
    </xf>
    <xf numFmtId="37" fontId="6" fillId="0" borderId="0" xfId="701" applyNumberFormat="1" applyFont="1" applyFill="1" applyAlignment="1">
      <alignment horizontal="center" vertical="top"/>
    </xf>
    <xf numFmtId="37" fontId="6" fillId="0" borderId="0" xfId="701" applyNumberFormat="1" applyFont="1" applyFill="1" applyAlignment="1" applyProtection="1">
      <alignment horizontal="center" vertical="top"/>
    </xf>
    <xf numFmtId="49" fontId="5" fillId="0" borderId="0" xfId="701" applyNumberFormat="1" applyFont="1" applyFill="1" applyBorder="1" applyAlignment="1"/>
    <xf numFmtId="37" fontId="4" fillId="0" borderId="0" xfId="701" applyNumberFormat="1" applyFont="1" applyFill="1" applyBorder="1" applyAlignment="1">
      <alignment horizontal="center" vertical="center"/>
    </xf>
    <xf numFmtId="37" fontId="6" fillId="0" borderId="0" xfId="701" applyNumberFormat="1" applyFont="1" applyFill="1" applyAlignment="1">
      <alignment horizontal="center"/>
    </xf>
    <xf numFmtId="37" fontId="5" fillId="0" borderId="4" xfId="701" applyNumberFormat="1" applyFont="1" applyFill="1" applyBorder="1" applyAlignment="1">
      <alignment horizontal="center"/>
    </xf>
    <xf numFmtId="0" fontId="7" fillId="0" borderId="0" xfId="0" applyFont="1" applyFill="1" applyAlignment="1">
      <alignment horizontal="left" vertical="top" wrapText="1"/>
    </xf>
    <xf numFmtId="37" fontId="4" fillId="0" borderId="0" xfId="701" applyNumberFormat="1" applyFont="1" applyFill="1" applyAlignment="1">
      <alignment horizontal="center"/>
    </xf>
    <xf numFmtId="0" fontId="8" fillId="0" borderId="0" xfId="0" applyNumberFormat="1" applyFont="1" applyFill="1" applyAlignment="1">
      <alignment horizontal="justify" vertical="justify" wrapText="1"/>
    </xf>
    <xf numFmtId="0" fontId="8" fillId="0" borderId="0" xfId="0" applyFont="1" applyFill="1" applyAlignment="1">
      <alignment horizontal="justify" vertical="justify" wrapText="1"/>
    </xf>
    <xf numFmtId="37" fontId="8" fillId="0" borderId="0" xfId="0" applyNumberFormat="1" applyFont="1" applyFill="1" applyAlignment="1">
      <alignment horizontal="left" wrapText="1"/>
    </xf>
    <xf numFmtId="37" fontId="7" fillId="0" borderId="0" xfId="0" applyNumberFormat="1" applyFont="1" applyFill="1" applyAlignment="1">
      <alignment horizontal="left" vertical="top"/>
    </xf>
    <xf numFmtId="0" fontId="2" fillId="0" borderId="0" xfId="701" applyNumberFormat="1" applyFont="1"/>
    <xf numFmtId="0" fontId="2" fillId="0" borderId="0" xfId="701" applyNumberFormat="1" applyFont="1" applyFill="1" applyAlignment="1">
      <alignment horizontal="justify" vertical="top" wrapText="1"/>
    </xf>
    <xf numFmtId="0" fontId="2" fillId="0" borderId="14" xfId="701" applyNumberFormat="1" applyFont="1" applyFill="1" applyBorder="1" applyAlignment="1">
      <alignment horizontal="center" vertical="top"/>
    </xf>
    <xf numFmtId="0" fontId="2" fillId="0" borderId="6" xfId="701" applyNumberFormat="1" applyFont="1" applyFill="1" applyBorder="1" applyAlignment="1">
      <alignment horizontal="center" vertical="top"/>
    </xf>
    <xf numFmtId="0" fontId="2" fillId="0" borderId="17" xfId="701" applyNumberFormat="1" applyFont="1" applyFill="1" applyBorder="1" applyAlignment="1">
      <alignment horizontal="center" vertical="top"/>
    </xf>
    <xf numFmtId="0" fontId="2" fillId="0" borderId="8" xfId="701" applyNumberFormat="1" applyFont="1" applyFill="1" applyBorder="1" applyAlignment="1">
      <alignment horizontal="left" vertical="top" wrapText="1"/>
    </xf>
    <xf numFmtId="0" fontId="2" fillId="0" borderId="0" xfId="701" applyNumberFormat="1" applyFont="1" applyFill="1" applyAlignment="1">
      <alignment horizontal="left" vertical="top" wrapText="1"/>
    </xf>
    <xf numFmtId="0" fontId="2" fillId="0" borderId="14" xfId="701" applyNumberFormat="1" applyFont="1" applyFill="1" applyBorder="1" applyAlignment="1">
      <alignment horizontal="center" vertical="center" wrapText="1"/>
    </xf>
    <xf numFmtId="0" fontId="2" fillId="0" borderId="6" xfId="701" applyNumberFormat="1" applyFont="1" applyFill="1" applyBorder="1" applyAlignment="1">
      <alignment horizontal="center" vertical="center" wrapText="1"/>
    </xf>
    <xf numFmtId="37" fontId="2" fillId="0" borderId="0" xfId="701" applyNumberFormat="1" applyFont="1" applyFill="1" applyAlignment="1">
      <alignment horizontal="center" vertical="top"/>
    </xf>
    <xf numFmtId="37" fontId="2" fillId="0" borderId="0" xfId="701" applyNumberFormat="1" applyFont="1" applyFill="1" applyAlignment="1" applyProtection="1">
      <alignment horizontal="center" vertical="top"/>
    </xf>
    <xf numFmtId="0" fontId="2" fillId="0" borderId="0" xfId="701" applyNumberFormat="1" applyFont="1" applyFill="1" applyBorder="1" applyAlignment="1">
      <alignment horizontal="justify" vertical="top" wrapText="1"/>
    </xf>
    <xf numFmtId="0" fontId="2" fillId="0" borderId="14" xfId="701" applyNumberFormat="1" applyFont="1" applyFill="1" applyBorder="1" applyAlignment="1">
      <alignment vertical="top" wrapText="1"/>
    </xf>
    <xf numFmtId="0" fontId="2" fillId="0" borderId="6" xfId="701" applyNumberFormat="1" applyFont="1" applyFill="1" applyBorder="1" applyAlignment="1">
      <alignment vertical="top" wrapText="1"/>
    </xf>
    <xf numFmtId="0" fontId="2" fillId="0" borderId="17" xfId="701" applyNumberFormat="1" applyFont="1" applyFill="1" applyBorder="1" applyAlignment="1">
      <alignment vertical="top" wrapText="1"/>
    </xf>
    <xf numFmtId="0" fontId="2" fillId="0" borderId="8" xfId="701" applyNumberFormat="1" applyFont="1" applyFill="1" applyBorder="1" applyAlignment="1">
      <alignment horizontal="center" vertical="top"/>
    </xf>
    <xf numFmtId="0" fontId="2" fillId="0" borderId="14" xfId="701" applyNumberFormat="1" applyFont="1" applyFill="1" applyBorder="1" applyAlignment="1">
      <alignment horizontal="left" vertical="top" wrapText="1"/>
    </xf>
    <xf numFmtId="0" fontId="2" fillId="0" borderId="6" xfId="701" applyNumberFormat="1" applyFont="1" applyFill="1" applyBorder="1" applyAlignment="1">
      <alignment horizontal="left" vertical="top" wrapText="1"/>
    </xf>
    <xf numFmtId="0" fontId="2" fillId="0" borderId="17" xfId="701" applyNumberFormat="1" applyFont="1" applyFill="1" applyBorder="1" applyAlignment="1">
      <alignment horizontal="left" vertical="top" wrapText="1"/>
    </xf>
    <xf numFmtId="0" fontId="2" fillId="0" borderId="2" xfId="701" applyNumberFormat="1" applyFont="1" applyFill="1" applyBorder="1" applyAlignment="1">
      <alignment horizontal="center" vertical="center" wrapText="1"/>
    </xf>
    <xf numFmtId="0" fontId="2" fillId="0" borderId="3" xfId="701" applyNumberFormat="1" applyFont="1" applyFill="1" applyBorder="1" applyAlignment="1">
      <alignment horizontal="center" vertical="center" wrapText="1"/>
    </xf>
    <xf numFmtId="0" fontId="2" fillId="0" borderId="16" xfId="701" applyNumberFormat="1" applyFont="1" applyFill="1" applyBorder="1" applyAlignment="1">
      <alignment horizontal="left" vertical="top" wrapText="1"/>
    </xf>
    <xf numFmtId="37" fontId="2" fillId="0" borderId="0" xfId="701" applyNumberFormat="1" applyFont="1" applyFill="1" applyAlignment="1">
      <alignment horizontal="justify" vertical="top" wrapText="1"/>
    </xf>
    <xf numFmtId="37" fontId="2" fillId="0" borderId="0" xfId="701" applyNumberFormat="1" applyFont="1" applyFill="1" applyAlignment="1">
      <alignment vertical="top" wrapText="1"/>
    </xf>
    <xf numFmtId="0" fontId="2" fillId="0" borderId="0" xfId="701" applyNumberFormat="1" applyFont="1" applyFill="1" applyAlignment="1" applyProtection="1">
      <alignment horizontal="left" vertical="top" wrapText="1"/>
    </xf>
    <xf numFmtId="0" fontId="2" fillId="0" borderId="0" xfId="701" applyNumberFormat="1" applyFont="1" applyFill="1" applyAlignment="1" applyProtection="1">
      <alignment horizontal="justify" vertical="top" wrapText="1"/>
    </xf>
    <xf numFmtId="37" fontId="2" fillId="0" borderId="0" xfId="701" applyNumberFormat="1" applyFont="1" applyFill="1" applyAlignment="1">
      <alignment horizontal="left" vertical="top"/>
    </xf>
    <xf numFmtId="0" fontId="2" fillId="0" borderId="0" xfId="701" applyNumberFormat="1" applyFont="1" applyFill="1" applyAlignment="1">
      <alignment vertical="top" wrapText="1"/>
    </xf>
    <xf numFmtId="37" fontId="2" fillId="0" borderId="0" xfId="701" applyNumberFormat="1" applyFont="1" applyFill="1" applyAlignment="1">
      <alignment horizontal="left" vertical="top" wrapText="1"/>
    </xf>
    <xf numFmtId="37" fontId="2" fillId="0" borderId="0" xfId="701" applyNumberFormat="1" applyFont="1" applyFill="1" applyAlignment="1">
      <alignment horizontal="center"/>
    </xf>
    <xf numFmtId="0" fontId="2" fillId="0" borderId="0" xfId="701" applyNumberFormat="1" applyFont="1" applyAlignment="1">
      <alignment horizontal="center"/>
    </xf>
    <xf numFmtId="37" fontId="8" fillId="0" borderId="4" xfId="0" applyNumberFormat="1" applyFont="1" applyFill="1" applyBorder="1" applyAlignment="1">
      <alignment horizontal="left"/>
    </xf>
  </cellXfs>
  <cellStyles count="2034">
    <cellStyle name="=C:\WINNT35\SYSTEM32\COMMAND.COM" xfId="1"/>
    <cellStyle name="=C:\WINNT35\SYSTEM32\COMMAND.COM 2" xfId="2"/>
    <cellStyle name="Comma" xfId="3" builtinId="3"/>
    <cellStyle name="Comma 10" xfId="4"/>
    <cellStyle name="Comma 10 2" xfId="5"/>
    <cellStyle name="Comma 10 3" xfId="6"/>
    <cellStyle name="Comma 10 4" xfId="7"/>
    <cellStyle name="Comma 10 5" xfId="8"/>
    <cellStyle name="Comma 11" xfId="9"/>
    <cellStyle name="Comma 11 10" xfId="10"/>
    <cellStyle name="Comma 11 11" xfId="11"/>
    <cellStyle name="Comma 11 12" xfId="12"/>
    <cellStyle name="Comma 11 13" xfId="13"/>
    <cellStyle name="Comma 11 14" xfId="14"/>
    <cellStyle name="Comma 11 15" xfId="15"/>
    <cellStyle name="Comma 11 16" xfId="16"/>
    <cellStyle name="Comma 11 17" xfId="17"/>
    <cellStyle name="Comma 11 18" xfId="18"/>
    <cellStyle name="Comma 11 19" xfId="19"/>
    <cellStyle name="Comma 11 2" xfId="20"/>
    <cellStyle name="Comma 11 2 10" xfId="21"/>
    <cellStyle name="Comma 11 2 11" xfId="22"/>
    <cellStyle name="Comma 11 2 12" xfId="23"/>
    <cellStyle name="Comma 11 2 13" xfId="24"/>
    <cellStyle name="Comma 11 2 14" xfId="25"/>
    <cellStyle name="Comma 11 2 15" xfId="26"/>
    <cellStyle name="Comma 11 2 16" xfId="27"/>
    <cellStyle name="Comma 11 2 17" xfId="28"/>
    <cellStyle name="Comma 11 2 18" xfId="29"/>
    <cellStyle name="Comma 11 2 19" xfId="30"/>
    <cellStyle name="Comma 11 2 2" xfId="31"/>
    <cellStyle name="Comma 11 2 20" xfId="32"/>
    <cellStyle name="Comma 11 2 21" xfId="33"/>
    <cellStyle name="Comma 11 2 22" xfId="34"/>
    <cellStyle name="Comma 11 2 23" xfId="35"/>
    <cellStyle name="Comma 11 2 24" xfId="36"/>
    <cellStyle name="Comma 11 2 25" xfId="37"/>
    <cellStyle name="Comma 11 2 26" xfId="38"/>
    <cellStyle name="Comma 11 2 27" xfId="39"/>
    <cellStyle name="Comma 11 2 28" xfId="40"/>
    <cellStyle name="Comma 11 2 29" xfId="41"/>
    <cellStyle name="Comma 11 2 3" xfId="42"/>
    <cellStyle name="Comma 11 2 30" xfId="43"/>
    <cellStyle name="Comma 11 2 31" xfId="44"/>
    <cellStyle name="Comma 11 2 32" xfId="45"/>
    <cellStyle name="Comma 11 2 33" xfId="46"/>
    <cellStyle name="Comma 11 2 34" xfId="47"/>
    <cellStyle name="Comma 11 2 35" xfId="48"/>
    <cellStyle name="Comma 11 2 36" xfId="49"/>
    <cellStyle name="Comma 11 2 4" xfId="50"/>
    <cellStyle name="Comma 11 2 5" xfId="51"/>
    <cellStyle name="Comma 11 2 6" xfId="52"/>
    <cellStyle name="Comma 11 2 7" xfId="53"/>
    <cellStyle name="Comma 11 2 8" xfId="54"/>
    <cellStyle name="Comma 11 2 9" xfId="55"/>
    <cellStyle name="Comma 11 20" xfId="56"/>
    <cellStyle name="Comma 11 21" xfId="57"/>
    <cellStyle name="Comma 11 22" xfId="58"/>
    <cellStyle name="Comma 11 23" xfId="59"/>
    <cellStyle name="Comma 11 24" xfId="60"/>
    <cellStyle name="Comma 11 25" xfId="61"/>
    <cellStyle name="Comma 11 26" xfId="62"/>
    <cellStyle name="Comma 11 27" xfId="63"/>
    <cellStyle name="Comma 11 28" xfId="64"/>
    <cellStyle name="Comma 11 29" xfId="65"/>
    <cellStyle name="Comma 11 3" xfId="66"/>
    <cellStyle name="Comma 11 30" xfId="67"/>
    <cellStyle name="Comma 11 31" xfId="68"/>
    <cellStyle name="Comma 11 32" xfId="69"/>
    <cellStyle name="Comma 11 33" xfId="70"/>
    <cellStyle name="Comma 11 34" xfId="71"/>
    <cellStyle name="Comma 11 35" xfId="72"/>
    <cellStyle name="Comma 11 36" xfId="73"/>
    <cellStyle name="Comma 11 37" xfId="74"/>
    <cellStyle name="Comma 11 4" xfId="75"/>
    <cellStyle name="Comma 11 5" xfId="76"/>
    <cellStyle name="Comma 11 6" xfId="77"/>
    <cellStyle name="Comma 11 7" xfId="78"/>
    <cellStyle name="Comma 11 8" xfId="79"/>
    <cellStyle name="Comma 11 9" xfId="80"/>
    <cellStyle name="Comma 12" xfId="81"/>
    <cellStyle name="Comma 12 10" xfId="82"/>
    <cellStyle name="Comma 12 11" xfId="83"/>
    <cellStyle name="Comma 12 12" xfId="84"/>
    <cellStyle name="Comma 12 13" xfId="85"/>
    <cellStyle name="Comma 12 14" xfId="86"/>
    <cellStyle name="Comma 12 15" xfId="87"/>
    <cellStyle name="Comma 12 16" xfId="88"/>
    <cellStyle name="Comma 12 17" xfId="89"/>
    <cellStyle name="Comma 12 18" xfId="90"/>
    <cellStyle name="Comma 12 19" xfId="91"/>
    <cellStyle name="Comma 12 2" xfId="92"/>
    <cellStyle name="Comma 12 20" xfId="93"/>
    <cellStyle name="Comma 12 21" xfId="94"/>
    <cellStyle name="Comma 12 22" xfId="95"/>
    <cellStyle name="Comma 12 23" xfId="96"/>
    <cellStyle name="Comma 12 24" xfId="97"/>
    <cellStyle name="Comma 12 25" xfId="98"/>
    <cellStyle name="Comma 12 26" xfId="99"/>
    <cellStyle name="Comma 12 27" xfId="100"/>
    <cellStyle name="Comma 12 28" xfId="101"/>
    <cellStyle name="Comma 12 29" xfId="102"/>
    <cellStyle name="Comma 12 3" xfId="103"/>
    <cellStyle name="Comma 12 30" xfId="104"/>
    <cellStyle name="Comma 12 31" xfId="105"/>
    <cellStyle name="Comma 12 32" xfId="106"/>
    <cellStyle name="Comma 12 33" xfId="107"/>
    <cellStyle name="Comma 12 34" xfId="108"/>
    <cellStyle name="Comma 12 35" xfId="109"/>
    <cellStyle name="Comma 12 36" xfId="110"/>
    <cellStyle name="Comma 12 4" xfId="111"/>
    <cellStyle name="Comma 12 5" xfId="112"/>
    <cellStyle name="Comma 12 6" xfId="113"/>
    <cellStyle name="Comma 12 7" xfId="114"/>
    <cellStyle name="Comma 12 8" xfId="115"/>
    <cellStyle name="Comma 12 9" xfId="116"/>
    <cellStyle name="Comma 2" xfId="117"/>
    <cellStyle name="Comma 2 10" xfId="118"/>
    <cellStyle name="Comma 2 100" xfId="119"/>
    <cellStyle name="Comma 2 101" xfId="120"/>
    <cellStyle name="Comma 2 102" xfId="121"/>
    <cellStyle name="Comma 2 103" xfId="122"/>
    <cellStyle name="Comma 2 104" xfId="123"/>
    <cellStyle name="Comma 2 105" xfId="124"/>
    <cellStyle name="Comma 2 106" xfId="125"/>
    <cellStyle name="Comma 2 107" xfId="126"/>
    <cellStyle name="Comma 2 108" xfId="127"/>
    <cellStyle name="Comma 2 109" xfId="128"/>
    <cellStyle name="Comma 2 11" xfId="129"/>
    <cellStyle name="Comma 2 110" xfId="130"/>
    <cellStyle name="Comma 2 111" xfId="131"/>
    <cellStyle name="Comma 2 112" xfId="132"/>
    <cellStyle name="Comma 2 113" xfId="133"/>
    <cellStyle name="Comma 2 114" xfId="134"/>
    <cellStyle name="Comma 2 115" xfId="135"/>
    <cellStyle name="Comma 2 116" xfId="136"/>
    <cellStyle name="Comma 2 117" xfId="137"/>
    <cellStyle name="Comma 2 118" xfId="138"/>
    <cellStyle name="Comma 2 119" xfId="139"/>
    <cellStyle name="Comma 2 12" xfId="140"/>
    <cellStyle name="Comma 2 120" xfId="141"/>
    <cellStyle name="Comma 2 121" xfId="142"/>
    <cellStyle name="Comma 2 122" xfId="143"/>
    <cellStyle name="Comma 2 123" xfId="144"/>
    <cellStyle name="Comma 2 124" xfId="145"/>
    <cellStyle name="Comma 2 125" xfId="146"/>
    <cellStyle name="Comma 2 126" xfId="147"/>
    <cellStyle name="Comma 2 127" xfId="148"/>
    <cellStyle name="Comma 2 128" xfId="149"/>
    <cellStyle name="Comma 2 129" xfId="150"/>
    <cellStyle name="Comma 2 13" xfId="151"/>
    <cellStyle name="Comma 2 130" xfId="152"/>
    <cellStyle name="Comma 2 131" xfId="153"/>
    <cellStyle name="Comma 2 132" xfId="154"/>
    <cellStyle name="Comma 2 133" xfId="155"/>
    <cellStyle name="Comma 2 134" xfId="156"/>
    <cellStyle name="Comma 2 135" xfId="157"/>
    <cellStyle name="Comma 2 136" xfId="158"/>
    <cellStyle name="Comma 2 137" xfId="159"/>
    <cellStyle name="Comma 2 138" xfId="160"/>
    <cellStyle name="Comma 2 139" xfId="161"/>
    <cellStyle name="Comma 2 14" xfId="162"/>
    <cellStyle name="Comma 2 140" xfId="163"/>
    <cellStyle name="Comma 2 141" xfId="164"/>
    <cellStyle name="Comma 2 142" xfId="165"/>
    <cellStyle name="Comma 2 143" xfId="166"/>
    <cellStyle name="Comma 2 144" xfId="167"/>
    <cellStyle name="Comma 2 145" xfId="168"/>
    <cellStyle name="Comma 2 146" xfId="169"/>
    <cellStyle name="Comma 2 147" xfId="170"/>
    <cellStyle name="Comma 2 148" xfId="171"/>
    <cellStyle name="Comma 2 149" xfId="172"/>
    <cellStyle name="Comma 2 15" xfId="173"/>
    <cellStyle name="Comma 2 150" xfId="174"/>
    <cellStyle name="Comma 2 151" xfId="175"/>
    <cellStyle name="Comma 2 152" xfId="176"/>
    <cellStyle name="Comma 2 153" xfId="177"/>
    <cellStyle name="Comma 2 154" xfId="178"/>
    <cellStyle name="Comma 2 155" xfId="179"/>
    <cellStyle name="Comma 2 156" xfId="180"/>
    <cellStyle name="Comma 2 157" xfId="181"/>
    <cellStyle name="Comma 2 158" xfId="182"/>
    <cellStyle name="Comma 2 159" xfId="183"/>
    <cellStyle name="Comma 2 16" xfId="184"/>
    <cellStyle name="Comma 2 160" xfId="185"/>
    <cellStyle name="Comma 2 161" xfId="186"/>
    <cellStyle name="Comma 2 162" xfId="187"/>
    <cellStyle name="Comma 2 163" xfId="188"/>
    <cellStyle name="Comma 2 164" xfId="189"/>
    <cellStyle name="Comma 2 165" xfId="190"/>
    <cellStyle name="Comma 2 166" xfId="191"/>
    <cellStyle name="Comma 2 167" xfId="192"/>
    <cellStyle name="Comma 2 168" xfId="193"/>
    <cellStyle name="Comma 2 169" xfId="194"/>
    <cellStyle name="Comma 2 17" xfId="195"/>
    <cellStyle name="Comma 2 170" xfId="196"/>
    <cellStyle name="Comma 2 171" xfId="197"/>
    <cellStyle name="Comma 2 172" xfId="198"/>
    <cellStyle name="Comma 2 173" xfId="199"/>
    <cellStyle name="Comma 2 174" xfId="200"/>
    <cellStyle name="Comma 2 175" xfId="201"/>
    <cellStyle name="Comma 2 176" xfId="202"/>
    <cellStyle name="Comma 2 177" xfId="203"/>
    <cellStyle name="Comma 2 178" xfId="204"/>
    <cellStyle name="Comma 2 179" xfId="205"/>
    <cellStyle name="Comma 2 18" xfId="206"/>
    <cellStyle name="Comma 2 180" xfId="207"/>
    <cellStyle name="Comma 2 181" xfId="208"/>
    <cellStyle name="Comma 2 182" xfId="209"/>
    <cellStyle name="Comma 2 183" xfId="210"/>
    <cellStyle name="Comma 2 184" xfId="211"/>
    <cellStyle name="Comma 2 185" xfId="212"/>
    <cellStyle name="Comma 2 186" xfId="213"/>
    <cellStyle name="Comma 2 187" xfId="214"/>
    <cellStyle name="Comma 2 188" xfId="215"/>
    <cellStyle name="Comma 2 189" xfId="216"/>
    <cellStyle name="Comma 2 19" xfId="217"/>
    <cellStyle name="Comma 2 190" xfId="218"/>
    <cellStyle name="Comma 2 191" xfId="219"/>
    <cellStyle name="Comma 2 192" xfId="220"/>
    <cellStyle name="Comma 2 193" xfId="221"/>
    <cellStyle name="Comma 2 194" xfId="222"/>
    <cellStyle name="Comma 2 195" xfId="223"/>
    <cellStyle name="Comma 2 196" xfId="224"/>
    <cellStyle name="Comma 2 197" xfId="225"/>
    <cellStyle name="Comma 2 198" xfId="226"/>
    <cellStyle name="Comma 2 199" xfId="227"/>
    <cellStyle name="Comma 2 2" xfId="228"/>
    <cellStyle name="Comma 2 20" xfId="229"/>
    <cellStyle name="Comma 2 200" xfId="230"/>
    <cellStyle name="Comma 2 201" xfId="231"/>
    <cellStyle name="Comma 2 202" xfId="232"/>
    <cellStyle name="Comma 2 203" xfId="233"/>
    <cellStyle name="Comma 2 204" xfId="234"/>
    <cellStyle name="Comma 2 205" xfId="235"/>
    <cellStyle name="Comma 2 206" xfId="236"/>
    <cellStyle name="Comma 2 207" xfId="237"/>
    <cellStyle name="Comma 2 208" xfId="238"/>
    <cellStyle name="Comma 2 209" xfId="239"/>
    <cellStyle name="Comma 2 21" xfId="240"/>
    <cellStyle name="Comma 2 210" xfId="241"/>
    <cellStyle name="Comma 2 211" xfId="242"/>
    <cellStyle name="Comma 2 212" xfId="243"/>
    <cellStyle name="Comma 2 213" xfId="244"/>
    <cellStyle name="Comma 2 214" xfId="245"/>
    <cellStyle name="Comma 2 215" xfId="246"/>
    <cellStyle name="Comma 2 216" xfId="247"/>
    <cellStyle name="Comma 2 217" xfId="248"/>
    <cellStyle name="Comma 2 218" xfId="249"/>
    <cellStyle name="Comma 2 219" xfId="250"/>
    <cellStyle name="Comma 2 22" xfId="251"/>
    <cellStyle name="Comma 2 220" xfId="252"/>
    <cellStyle name="Comma 2 221" xfId="253"/>
    <cellStyle name="Comma 2 222" xfId="254"/>
    <cellStyle name="Comma 2 223" xfId="255"/>
    <cellStyle name="Comma 2 224" xfId="256"/>
    <cellStyle name="Comma 2 225" xfId="257"/>
    <cellStyle name="Comma 2 226" xfId="258"/>
    <cellStyle name="Comma 2 227" xfId="259"/>
    <cellStyle name="Comma 2 228" xfId="260"/>
    <cellStyle name="Comma 2 229" xfId="261"/>
    <cellStyle name="Comma 2 23" xfId="262"/>
    <cellStyle name="Comma 2 230" xfId="263"/>
    <cellStyle name="Comma 2 231" xfId="264"/>
    <cellStyle name="Comma 2 232" xfId="265"/>
    <cellStyle name="Comma 2 233" xfId="266"/>
    <cellStyle name="Comma 2 234" xfId="267"/>
    <cellStyle name="Comma 2 235" xfId="268"/>
    <cellStyle name="Comma 2 236" xfId="269"/>
    <cellStyle name="Comma 2 237" xfId="270"/>
    <cellStyle name="Comma 2 238" xfId="271"/>
    <cellStyle name="Comma 2 239" xfId="272"/>
    <cellStyle name="Comma 2 24" xfId="273"/>
    <cellStyle name="Comma 2 240" xfId="274"/>
    <cellStyle name="Comma 2 241" xfId="275"/>
    <cellStyle name="Comma 2 242" xfId="276"/>
    <cellStyle name="Comma 2 243" xfId="277"/>
    <cellStyle name="Comma 2 244" xfId="278"/>
    <cellStyle name="Comma 2 245" xfId="279"/>
    <cellStyle name="Comma 2 246" xfId="280"/>
    <cellStyle name="Comma 2 247" xfId="281"/>
    <cellStyle name="Comma 2 248" xfId="282"/>
    <cellStyle name="Comma 2 249" xfId="283"/>
    <cellStyle name="Comma 2 25" xfId="284"/>
    <cellStyle name="Comma 2 250" xfId="285"/>
    <cellStyle name="Comma 2 251" xfId="286"/>
    <cellStyle name="Comma 2 252" xfId="287"/>
    <cellStyle name="Comma 2 253" xfId="288"/>
    <cellStyle name="Comma 2 254" xfId="289"/>
    <cellStyle name="Comma 2 255" xfId="290"/>
    <cellStyle name="Comma 2 26" xfId="291"/>
    <cellStyle name="Comma 2 27" xfId="292"/>
    <cellStyle name="Comma 2 28" xfId="293"/>
    <cellStyle name="Comma 2 29" xfId="294"/>
    <cellStyle name="Comma 2 3" xfId="295"/>
    <cellStyle name="Comma 2 30" xfId="296"/>
    <cellStyle name="Comma 2 31" xfId="297"/>
    <cellStyle name="Comma 2 32" xfId="298"/>
    <cellStyle name="Comma 2 33" xfId="299"/>
    <cellStyle name="Comma 2 34" xfId="300"/>
    <cellStyle name="Comma 2 35" xfId="301"/>
    <cellStyle name="Comma 2 36" xfId="302"/>
    <cellStyle name="Comma 2 37" xfId="303"/>
    <cellStyle name="Comma 2 38" xfId="304"/>
    <cellStyle name="Comma 2 39" xfId="305"/>
    <cellStyle name="Comma 2 4" xfId="306"/>
    <cellStyle name="Comma 2 40" xfId="307"/>
    <cellStyle name="Comma 2 41" xfId="308"/>
    <cellStyle name="Comma 2 42" xfId="309"/>
    <cellStyle name="Comma 2 43" xfId="310"/>
    <cellStyle name="Comma 2 44" xfId="311"/>
    <cellStyle name="Comma 2 45" xfId="312"/>
    <cellStyle name="Comma 2 46" xfId="313"/>
    <cellStyle name="Comma 2 47" xfId="314"/>
    <cellStyle name="Comma 2 48" xfId="315"/>
    <cellStyle name="Comma 2 49" xfId="316"/>
    <cellStyle name="Comma 2 5" xfId="317"/>
    <cellStyle name="Comma 2 50" xfId="318"/>
    <cellStyle name="Comma 2 51" xfId="319"/>
    <cellStyle name="Comma 2 52" xfId="320"/>
    <cellStyle name="Comma 2 53" xfId="321"/>
    <cellStyle name="Comma 2 54" xfId="322"/>
    <cellStyle name="Comma 2 55" xfId="323"/>
    <cellStyle name="Comma 2 56" xfId="324"/>
    <cellStyle name="Comma 2 57" xfId="325"/>
    <cellStyle name="Comma 2 58" xfId="326"/>
    <cellStyle name="Comma 2 59" xfId="327"/>
    <cellStyle name="Comma 2 6" xfId="328"/>
    <cellStyle name="Comma 2 60" xfId="329"/>
    <cellStyle name="Comma 2 61" xfId="330"/>
    <cellStyle name="Comma 2 62" xfId="331"/>
    <cellStyle name="Comma 2 63" xfId="332"/>
    <cellStyle name="Comma 2 64" xfId="333"/>
    <cellStyle name="Comma 2 65" xfId="334"/>
    <cellStyle name="Comma 2 65 10" xfId="335"/>
    <cellStyle name="Comma 2 65 11" xfId="336"/>
    <cellStyle name="Comma 2 65 12" xfId="337"/>
    <cellStyle name="Comma 2 65 13" xfId="338"/>
    <cellStyle name="Comma 2 65 14" xfId="339"/>
    <cellStyle name="Comma 2 65 15" xfId="340"/>
    <cellStyle name="Comma 2 65 16" xfId="341"/>
    <cellStyle name="Comma 2 65 17" xfId="342"/>
    <cellStyle name="Comma 2 65 18" xfId="343"/>
    <cellStyle name="Comma 2 65 19" xfId="344"/>
    <cellStyle name="Comma 2 65 2" xfId="345"/>
    <cellStyle name="Comma 2 65 20" xfId="346"/>
    <cellStyle name="Comma 2 65 3" xfId="347"/>
    <cellStyle name="Comma 2 65 4" xfId="348"/>
    <cellStyle name="Comma 2 65 5" xfId="349"/>
    <cellStyle name="Comma 2 65 6" xfId="350"/>
    <cellStyle name="Comma 2 65 7" xfId="351"/>
    <cellStyle name="Comma 2 65 8" xfId="352"/>
    <cellStyle name="Comma 2 65 9" xfId="353"/>
    <cellStyle name="Comma 2 66" xfId="354"/>
    <cellStyle name="Comma 2 67" xfId="355"/>
    <cellStyle name="Comma 2 68" xfId="356"/>
    <cellStyle name="Comma 2 69" xfId="357"/>
    <cellStyle name="Comma 2 7" xfId="358"/>
    <cellStyle name="Comma 2 70" xfId="359"/>
    <cellStyle name="Comma 2 71" xfId="360"/>
    <cellStyle name="Comma 2 72" xfId="361"/>
    <cellStyle name="Comma 2 73" xfId="362"/>
    <cellStyle name="Comma 2 74" xfId="363"/>
    <cellStyle name="Comma 2 75" xfId="364"/>
    <cellStyle name="Comma 2 76" xfId="365"/>
    <cellStyle name="Comma 2 77" xfId="366"/>
    <cellStyle name="Comma 2 78" xfId="367"/>
    <cellStyle name="Comma 2 79" xfId="368"/>
    <cellStyle name="Comma 2 8" xfId="369"/>
    <cellStyle name="Comma 2 80" xfId="370"/>
    <cellStyle name="Comma 2 81" xfId="371"/>
    <cellStyle name="Comma 2 82" xfId="372"/>
    <cellStyle name="Comma 2 83" xfId="373"/>
    <cellStyle name="Comma 2 84" xfId="374"/>
    <cellStyle name="Comma 2 85" xfId="375"/>
    <cellStyle name="Comma 2 86" xfId="376"/>
    <cellStyle name="Comma 2 87" xfId="377"/>
    <cellStyle name="Comma 2 88" xfId="378"/>
    <cellStyle name="Comma 2 89" xfId="379"/>
    <cellStyle name="Comma 2 9" xfId="380"/>
    <cellStyle name="Comma 2 90" xfId="381"/>
    <cellStyle name="Comma 2 91" xfId="382"/>
    <cellStyle name="Comma 2 92" xfId="383"/>
    <cellStyle name="Comma 2 93" xfId="384"/>
    <cellStyle name="Comma 2 94" xfId="385"/>
    <cellStyle name="Comma 2 95" xfId="386"/>
    <cellStyle name="Comma 2 96" xfId="387"/>
    <cellStyle name="Comma 2 97" xfId="388"/>
    <cellStyle name="Comma 2 98" xfId="389"/>
    <cellStyle name="Comma 2 99" xfId="390"/>
    <cellStyle name="Comma 29" xfId="391"/>
    <cellStyle name="Comma 29 10" xfId="392"/>
    <cellStyle name="Comma 29 11" xfId="393"/>
    <cellStyle name="Comma 29 12" xfId="394"/>
    <cellStyle name="Comma 29 13" xfId="395"/>
    <cellStyle name="Comma 29 14" xfId="396"/>
    <cellStyle name="Comma 29 15" xfId="397"/>
    <cellStyle name="Comma 29 16" xfId="398"/>
    <cellStyle name="Comma 29 17" xfId="399"/>
    <cellStyle name="Comma 29 18" xfId="400"/>
    <cellStyle name="Comma 29 19" xfId="401"/>
    <cellStyle name="Comma 29 2" xfId="402"/>
    <cellStyle name="Comma 29 20" xfId="403"/>
    <cellStyle name="Comma 29 3" xfId="404"/>
    <cellStyle name="Comma 29 4" xfId="405"/>
    <cellStyle name="Comma 29 5" xfId="406"/>
    <cellStyle name="Comma 29 6" xfId="407"/>
    <cellStyle name="Comma 29 7" xfId="408"/>
    <cellStyle name="Comma 29 8" xfId="409"/>
    <cellStyle name="Comma 29 9" xfId="410"/>
    <cellStyle name="Comma 3" xfId="411"/>
    <cellStyle name="Comma 3 10" xfId="412"/>
    <cellStyle name="Comma 3 10 10" xfId="413"/>
    <cellStyle name="Comma 3 10 11" xfId="414"/>
    <cellStyle name="Comma 3 10 12" xfId="415"/>
    <cellStyle name="Comma 3 10 13" xfId="416"/>
    <cellStyle name="Comma 3 10 14" xfId="417"/>
    <cellStyle name="Comma 3 10 15" xfId="418"/>
    <cellStyle name="Comma 3 10 16" xfId="419"/>
    <cellStyle name="Comma 3 10 17" xfId="420"/>
    <cellStyle name="Comma 3 10 18" xfId="421"/>
    <cellStyle name="Comma 3 10 19" xfId="422"/>
    <cellStyle name="Comma 3 10 2" xfId="423"/>
    <cellStyle name="Comma 3 10 20" xfId="424"/>
    <cellStyle name="Comma 3 10 3" xfId="425"/>
    <cellStyle name="Comma 3 10 4" xfId="426"/>
    <cellStyle name="Comma 3 10 5" xfId="427"/>
    <cellStyle name="Comma 3 10 6" xfId="428"/>
    <cellStyle name="Comma 3 10 7" xfId="429"/>
    <cellStyle name="Comma 3 10 8" xfId="430"/>
    <cellStyle name="Comma 3 10 9" xfId="431"/>
    <cellStyle name="Comma 3 100" xfId="432"/>
    <cellStyle name="Comma 3 100 2" xfId="433"/>
    <cellStyle name="Comma 3 101" xfId="434"/>
    <cellStyle name="Comma 3 101 2" xfId="435"/>
    <cellStyle name="Comma 3 102" xfId="436"/>
    <cellStyle name="Comma 3 102 2" xfId="437"/>
    <cellStyle name="Comma 3 103" xfId="438"/>
    <cellStyle name="Comma 3 103 2" xfId="439"/>
    <cellStyle name="Comma 3 104" xfId="440"/>
    <cellStyle name="Comma 3 104 2" xfId="441"/>
    <cellStyle name="Comma 3 105" xfId="442"/>
    <cellStyle name="Comma 3 105 2" xfId="443"/>
    <cellStyle name="Comma 3 106" xfId="444"/>
    <cellStyle name="Comma 3 106 2" xfId="445"/>
    <cellStyle name="Comma 3 107" xfId="446"/>
    <cellStyle name="Comma 3 107 2" xfId="447"/>
    <cellStyle name="Comma 3 108" xfId="448"/>
    <cellStyle name="Comma 3 108 2" xfId="449"/>
    <cellStyle name="Comma 3 109" xfId="450"/>
    <cellStyle name="Comma 3 109 2" xfId="451"/>
    <cellStyle name="Comma 3 11" xfId="452"/>
    <cellStyle name="Comma 3 11 10" xfId="453"/>
    <cellStyle name="Comma 3 11 11" xfId="454"/>
    <cellStyle name="Comma 3 11 12" xfId="455"/>
    <cellStyle name="Comma 3 11 13" xfId="456"/>
    <cellStyle name="Comma 3 11 14" xfId="457"/>
    <cellStyle name="Comma 3 11 15" xfId="458"/>
    <cellStyle name="Comma 3 11 16" xfId="459"/>
    <cellStyle name="Comma 3 11 17" xfId="460"/>
    <cellStyle name="Comma 3 11 18" xfId="461"/>
    <cellStyle name="Comma 3 11 19" xfId="462"/>
    <cellStyle name="Comma 3 11 2" xfId="463"/>
    <cellStyle name="Comma 3 11 20" xfId="464"/>
    <cellStyle name="Comma 3 11 3" xfId="465"/>
    <cellStyle name="Comma 3 11 4" xfId="466"/>
    <cellStyle name="Comma 3 11 5" xfId="467"/>
    <cellStyle name="Comma 3 11 6" xfId="468"/>
    <cellStyle name="Comma 3 11 7" xfId="469"/>
    <cellStyle name="Comma 3 11 8" xfId="470"/>
    <cellStyle name="Comma 3 11 9" xfId="471"/>
    <cellStyle name="Comma 3 110" xfId="472"/>
    <cellStyle name="Comma 3 110 2" xfId="473"/>
    <cellStyle name="Comma 3 111" xfId="474"/>
    <cellStyle name="Comma 3 111 2" xfId="475"/>
    <cellStyle name="Comma 3 112" xfId="476"/>
    <cellStyle name="Comma 3 112 2" xfId="477"/>
    <cellStyle name="Comma 3 113" xfId="478"/>
    <cellStyle name="Comma 3 113 2" xfId="479"/>
    <cellStyle name="Comma 3 114" xfId="480"/>
    <cellStyle name="Comma 3 114 2" xfId="481"/>
    <cellStyle name="Comma 3 115" xfId="482"/>
    <cellStyle name="Comma 3 115 2" xfId="483"/>
    <cellStyle name="Comma 3 116" xfId="484"/>
    <cellStyle name="Comma 3 116 2" xfId="485"/>
    <cellStyle name="Comma 3 117" xfId="486"/>
    <cellStyle name="Comma 3 117 2" xfId="487"/>
    <cellStyle name="Comma 3 118" xfId="488"/>
    <cellStyle name="Comma 3 118 2" xfId="489"/>
    <cellStyle name="Comma 3 119" xfId="490"/>
    <cellStyle name="Comma 3 119 2" xfId="491"/>
    <cellStyle name="Comma 3 12" xfId="492"/>
    <cellStyle name="Comma 3 12 10" xfId="493"/>
    <cellStyle name="Comma 3 12 11" xfId="494"/>
    <cellStyle name="Comma 3 12 12" xfId="495"/>
    <cellStyle name="Comma 3 12 13" xfId="496"/>
    <cellStyle name="Comma 3 12 14" xfId="497"/>
    <cellStyle name="Comma 3 12 15" xfId="498"/>
    <cellStyle name="Comma 3 12 16" xfId="499"/>
    <cellStyle name="Comma 3 12 17" xfId="500"/>
    <cellStyle name="Comma 3 12 18" xfId="501"/>
    <cellStyle name="Comma 3 12 19" xfId="502"/>
    <cellStyle name="Comma 3 12 2" xfId="503"/>
    <cellStyle name="Comma 3 12 20" xfId="504"/>
    <cellStyle name="Comma 3 12 3" xfId="505"/>
    <cellStyle name="Comma 3 12 4" xfId="506"/>
    <cellStyle name="Comma 3 12 5" xfId="507"/>
    <cellStyle name="Comma 3 12 6" xfId="508"/>
    <cellStyle name="Comma 3 12 7" xfId="509"/>
    <cellStyle name="Comma 3 12 8" xfId="510"/>
    <cellStyle name="Comma 3 12 9" xfId="511"/>
    <cellStyle name="Comma 3 120" xfId="512"/>
    <cellStyle name="Comma 3 120 2" xfId="513"/>
    <cellStyle name="Comma 3 121" xfId="514"/>
    <cellStyle name="Comma 3 121 2" xfId="515"/>
    <cellStyle name="Comma 3 122" xfId="516"/>
    <cellStyle name="Comma 3 122 2" xfId="517"/>
    <cellStyle name="Comma 3 123" xfId="518"/>
    <cellStyle name="Comma 3 123 2" xfId="519"/>
    <cellStyle name="Comma 3 124" xfId="520"/>
    <cellStyle name="Comma 3 124 2" xfId="521"/>
    <cellStyle name="Comma 3 125" xfId="522"/>
    <cellStyle name="Comma 3 125 2" xfId="523"/>
    <cellStyle name="Comma 3 126" xfId="524"/>
    <cellStyle name="Comma 3 126 2" xfId="525"/>
    <cellStyle name="Comma 3 127" xfId="526"/>
    <cellStyle name="Comma 3 127 2" xfId="527"/>
    <cellStyle name="Comma 3 128" xfId="528"/>
    <cellStyle name="Comma 3 128 2" xfId="529"/>
    <cellStyle name="Comma 3 129" xfId="530"/>
    <cellStyle name="Comma 3 129 2" xfId="531"/>
    <cellStyle name="Comma 3 13" xfId="532"/>
    <cellStyle name="Comma 3 13 10" xfId="533"/>
    <cellStyle name="Comma 3 13 11" xfId="534"/>
    <cellStyle name="Comma 3 13 12" xfId="535"/>
    <cellStyle name="Comma 3 13 13" xfId="536"/>
    <cellStyle name="Comma 3 13 14" xfId="537"/>
    <cellStyle name="Comma 3 13 15" xfId="538"/>
    <cellStyle name="Comma 3 13 16" xfId="539"/>
    <cellStyle name="Comma 3 13 17" xfId="540"/>
    <cellStyle name="Comma 3 13 18" xfId="541"/>
    <cellStyle name="Comma 3 13 19" xfId="542"/>
    <cellStyle name="Comma 3 13 2" xfId="543"/>
    <cellStyle name="Comma 3 13 20" xfId="544"/>
    <cellStyle name="Comma 3 13 3" xfId="545"/>
    <cellStyle name="Comma 3 13 4" xfId="546"/>
    <cellStyle name="Comma 3 13 5" xfId="547"/>
    <cellStyle name="Comma 3 13 6" xfId="548"/>
    <cellStyle name="Comma 3 13 7" xfId="549"/>
    <cellStyle name="Comma 3 13 8" xfId="550"/>
    <cellStyle name="Comma 3 13 9" xfId="551"/>
    <cellStyle name="Comma 3 130" xfId="552"/>
    <cellStyle name="Comma 3 130 2" xfId="553"/>
    <cellStyle name="Comma 3 131" xfId="554"/>
    <cellStyle name="Comma 3 131 2" xfId="555"/>
    <cellStyle name="Comma 3 132" xfId="556"/>
    <cellStyle name="Comma 3 132 2" xfId="557"/>
    <cellStyle name="Comma 3 133" xfId="558"/>
    <cellStyle name="Comma 3 133 2" xfId="559"/>
    <cellStyle name="Comma 3 134" xfId="560"/>
    <cellStyle name="Comma 3 134 2" xfId="561"/>
    <cellStyle name="Comma 3 135" xfId="562"/>
    <cellStyle name="Comma 3 135 2" xfId="563"/>
    <cellStyle name="Comma 3 136" xfId="564"/>
    <cellStyle name="Comma 3 136 2" xfId="565"/>
    <cellStyle name="Comma 3 137" xfId="566"/>
    <cellStyle name="Comma 3 137 2" xfId="567"/>
    <cellStyle name="Comma 3 138" xfId="568"/>
    <cellStyle name="Comma 3 138 2" xfId="569"/>
    <cellStyle name="Comma 3 139" xfId="570"/>
    <cellStyle name="Comma 3 139 2" xfId="571"/>
    <cellStyle name="Comma 3 14" xfId="572"/>
    <cellStyle name="Comma 3 14 10" xfId="573"/>
    <cellStyle name="Comma 3 14 11" xfId="574"/>
    <cellStyle name="Comma 3 14 12" xfId="575"/>
    <cellStyle name="Comma 3 14 13" xfId="576"/>
    <cellStyle name="Comma 3 14 14" xfId="577"/>
    <cellStyle name="Comma 3 14 15" xfId="578"/>
    <cellStyle name="Comma 3 14 16" xfId="579"/>
    <cellStyle name="Comma 3 14 17" xfId="580"/>
    <cellStyle name="Comma 3 14 18" xfId="581"/>
    <cellStyle name="Comma 3 14 19" xfId="582"/>
    <cellStyle name="Comma 3 14 2" xfId="583"/>
    <cellStyle name="Comma 3 14 20" xfId="584"/>
    <cellStyle name="Comma 3 14 3" xfId="585"/>
    <cellStyle name="Comma 3 14 4" xfId="586"/>
    <cellStyle name="Comma 3 14 5" xfId="587"/>
    <cellStyle name="Comma 3 14 6" xfId="588"/>
    <cellStyle name="Comma 3 14 7" xfId="589"/>
    <cellStyle name="Comma 3 14 8" xfId="590"/>
    <cellStyle name="Comma 3 14 9" xfId="591"/>
    <cellStyle name="Comma 3 140" xfId="592"/>
    <cellStyle name="Comma 3 140 2" xfId="593"/>
    <cellStyle name="Comma 3 141" xfId="594"/>
    <cellStyle name="Comma 3 141 2" xfId="595"/>
    <cellStyle name="Comma 3 142" xfId="596"/>
    <cellStyle name="Comma 3 142 2" xfId="597"/>
    <cellStyle name="Comma 3 143" xfId="598"/>
    <cellStyle name="Comma 3 143 2" xfId="599"/>
    <cellStyle name="Comma 3 144" xfId="600"/>
    <cellStyle name="Comma 3 144 2" xfId="601"/>
    <cellStyle name="Comma 3 145" xfId="602"/>
    <cellStyle name="Comma 3 145 2" xfId="603"/>
    <cellStyle name="Comma 3 146" xfId="604"/>
    <cellStyle name="Comma 3 146 2" xfId="605"/>
    <cellStyle name="Comma 3 147" xfId="606"/>
    <cellStyle name="Comma 3 147 2" xfId="607"/>
    <cellStyle name="Comma 3 148" xfId="608"/>
    <cellStyle name="Comma 3 148 2" xfId="609"/>
    <cellStyle name="Comma 3 149" xfId="610"/>
    <cellStyle name="Comma 3 149 2" xfId="611"/>
    <cellStyle name="Comma 3 15" xfId="612"/>
    <cellStyle name="Comma 3 15 10" xfId="613"/>
    <cellStyle name="Comma 3 15 11" xfId="614"/>
    <cellStyle name="Comma 3 15 12" xfId="615"/>
    <cellStyle name="Comma 3 15 13" xfId="616"/>
    <cellStyle name="Comma 3 15 14" xfId="617"/>
    <cellStyle name="Comma 3 15 15" xfId="618"/>
    <cellStyle name="Comma 3 15 16" xfId="619"/>
    <cellStyle name="Comma 3 15 17" xfId="620"/>
    <cellStyle name="Comma 3 15 18" xfId="621"/>
    <cellStyle name="Comma 3 15 19" xfId="622"/>
    <cellStyle name="Comma 3 15 2" xfId="623"/>
    <cellStyle name="Comma 3 15 20" xfId="624"/>
    <cellStyle name="Comma 3 15 3" xfId="625"/>
    <cellStyle name="Comma 3 15 4" xfId="626"/>
    <cellStyle name="Comma 3 15 5" xfId="627"/>
    <cellStyle name="Comma 3 15 6" xfId="628"/>
    <cellStyle name="Comma 3 15 7" xfId="629"/>
    <cellStyle name="Comma 3 15 8" xfId="630"/>
    <cellStyle name="Comma 3 15 9" xfId="631"/>
    <cellStyle name="Comma 3 150" xfId="632"/>
    <cellStyle name="Comma 3 150 2" xfId="633"/>
    <cellStyle name="Comma 3 151" xfId="634"/>
    <cellStyle name="Comma 3 151 2" xfId="635"/>
    <cellStyle name="Comma 3 152" xfId="636"/>
    <cellStyle name="Comma 3 152 2" xfId="637"/>
    <cellStyle name="Comma 3 153" xfId="638"/>
    <cellStyle name="Comma 3 153 2" xfId="639"/>
    <cellStyle name="Comma 3 154" xfId="640"/>
    <cellStyle name="Comma 3 154 2" xfId="641"/>
    <cellStyle name="Comma 3 155" xfId="642"/>
    <cellStyle name="Comma 3 155 2" xfId="643"/>
    <cellStyle name="Comma 3 156" xfId="644"/>
    <cellStyle name="Comma 3 156 2" xfId="645"/>
    <cellStyle name="Comma 3 157" xfId="646"/>
    <cellStyle name="Comma 3 157 2" xfId="647"/>
    <cellStyle name="Comma 3 158" xfId="648"/>
    <cellStyle name="Comma 3 158 2" xfId="649"/>
    <cellStyle name="Comma 3 159" xfId="650"/>
    <cellStyle name="Comma 3 159 2" xfId="651"/>
    <cellStyle name="Comma 3 16" xfId="652"/>
    <cellStyle name="Comma 3 16 10" xfId="653"/>
    <cellStyle name="Comma 3 16 11" xfId="654"/>
    <cellStyle name="Comma 3 16 12" xfId="655"/>
    <cellStyle name="Comma 3 16 13" xfId="656"/>
    <cellStyle name="Comma 3 16 14" xfId="657"/>
    <cellStyle name="Comma 3 16 15" xfId="658"/>
    <cellStyle name="Comma 3 16 16" xfId="659"/>
    <cellStyle name="Comma 3 16 17" xfId="660"/>
    <cellStyle name="Comma 3 16 18" xfId="661"/>
    <cellStyle name="Comma 3 16 19" xfId="662"/>
    <cellStyle name="Comma 3 16 2" xfId="663"/>
    <cellStyle name="Comma 3 16 20" xfId="664"/>
    <cellStyle name="Comma 3 16 3" xfId="665"/>
    <cellStyle name="Comma 3 16 4" xfId="666"/>
    <cellStyle name="Comma 3 16 5" xfId="667"/>
    <cellStyle name="Comma 3 16 6" xfId="668"/>
    <cellStyle name="Comma 3 16 7" xfId="669"/>
    <cellStyle name="Comma 3 16 8" xfId="670"/>
    <cellStyle name="Comma 3 16 9" xfId="671"/>
    <cellStyle name="Comma 3 160" xfId="672"/>
    <cellStyle name="Comma 3 160 2" xfId="673"/>
    <cellStyle name="Comma 3 161" xfId="674"/>
    <cellStyle name="Comma 3 161 2" xfId="675"/>
    <cellStyle name="Comma 3 162" xfId="676"/>
    <cellStyle name="Comma 3 162 2" xfId="677"/>
    <cellStyle name="Comma 3 163" xfId="678"/>
    <cellStyle name="Comma 3 164" xfId="679"/>
    <cellStyle name="Comma 3 165" xfId="680"/>
    <cellStyle name="Comma 3 166" xfId="681"/>
    <cellStyle name="Comma 3 167" xfId="682"/>
    <cellStyle name="Comma 3 168" xfId="683"/>
    <cellStyle name="Comma 3 169" xfId="684"/>
    <cellStyle name="Comma 3 17" xfId="685"/>
    <cellStyle name="Comma 3 17 10" xfId="686"/>
    <cellStyle name="Comma 3 17 11" xfId="687"/>
    <cellStyle name="Comma 3 17 12" xfId="688"/>
    <cellStyle name="Comma 3 17 13" xfId="689"/>
    <cellStyle name="Comma 3 17 14" xfId="690"/>
    <cellStyle name="Comma 3 17 15" xfId="691"/>
    <cellStyle name="Comma 3 17 16" xfId="692"/>
    <cellStyle name="Comma 3 17 17" xfId="693"/>
    <cellStyle name="Comma 3 17 18" xfId="694"/>
    <cellStyle name="Comma 3 17 19" xfId="695"/>
    <cellStyle name="Comma 3 17 2" xfId="696"/>
    <cellStyle name="Comma 3 17 20" xfId="697"/>
    <cellStyle name="Comma 3 17 3" xfId="698"/>
    <cellStyle name="Comma 3 17 4" xfId="699"/>
    <cellStyle name="Comma 3 17 5" xfId="700"/>
    <cellStyle name="Comma 3 17 6" xfId="701"/>
    <cellStyle name="Comma 3 17 7" xfId="702"/>
    <cellStyle name="Comma 3 17 8" xfId="703"/>
    <cellStyle name="Comma 3 17 9" xfId="704"/>
    <cellStyle name="Comma 3 170" xfId="705"/>
    <cellStyle name="Comma 3 171" xfId="706"/>
    <cellStyle name="Comma 3 172" xfId="707"/>
    <cellStyle name="Comma 3 173" xfId="708"/>
    <cellStyle name="Comma 3 174" xfId="709"/>
    <cellStyle name="Comma 3 175" xfId="710"/>
    <cellStyle name="Comma 3 176" xfId="711"/>
    <cellStyle name="Comma 3 177" xfId="712"/>
    <cellStyle name="Comma 3 178" xfId="713"/>
    <cellStyle name="Comma 3 179" xfId="714"/>
    <cellStyle name="Comma 3 18" xfId="715"/>
    <cellStyle name="Comma 3 18 10" xfId="716"/>
    <cellStyle name="Comma 3 18 11" xfId="717"/>
    <cellStyle name="Comma 3 18 12" xfId="718"/>
    <cellStyle name="Comma 3 18 13" xfId="719"/>
    <cellStyle name="Comma 3 18 14" xfId="720"/>
    <cellStyle name="Comma 3 18 15" xfId="721"/>
    <cellStyle name="Comma 3 18 16" xfId="722"/>
    <cellStyle name="Comma 3 18 17" xfId="723"/>
    <cellStyle name="Comma 3 18 18" xfId="724"/>
    <cellStyle name="Comma 3 18 19" xfId="725"/>
    <cellStyle name="Comma 3 18 2" xfId="726"/>
    <cellStyle name="Comma 3 18 20" xfId="727"/>
    <cellStyle name="Comma 3 18 3" xfId="728"/>
    <cellStyle name="Comma 3 18 4" xfId="729"/>
    <cellStyle name="Comma 3 18 5" xfId="730"/>
    <cellStyle name="Comma 3 18 6" xfId="731"/>
    <cellStyle name="Comma 3 18 7" xfId="732"/>
    <cellStyle name="Comma 3 18 8" xfId="733"/>
    <cellStyle name="Comma 3 18 9" xfId="734"/>
    <cellStyle name="Comma 3 180" xfId="735"/>
    <cellStyle name="Comma 3 181" xfId="736"/>
    <cellStyle name="Comma 3 19" xfId="737"/>
    <cellStyle name="Comma 3 19 10" xfId="738"/>
    <cellStyle name="Comma 3 19 11" xfId="739"/>
    <cellStyle name="Comma 3 19 12" xfId="740"/>
    <cellStyle name="Comma 3 19 13" xfId="741"/>
    <cellStyle name="Comma 3 19 14" xfId="742"/>
    <cellStyle name="Comma 3 19 15" xfId="743"/>
    <cellStyle name="Comma 3 19 16" xfId="744"/>
    <cellStyle name="Comma 3 19 17" xfId="745"/>
    <cellStyle name="Comma 3 19 18" xfId="746"/>
    <cellStyle name="Comma 3 19 19" xfId="747"/>
    <cellStyle name="Comma 3 19 2" xfId="748"/>
    <cellStyle name="Comma 3 19 20" xfId="749"/>
    <cellStyle name="Comma 3 19 3" xfId="750"/>
    <cellStyle name="Comma 3 19 4" xfId="751"/>
    <cellStyle name="Comma 3 19 5" xfId="752"/>
    <cellStyle name="Comma 3 19 6" xfId="753"/>
    <cellStyle name="Comma 3 19 7" xfId="754"/>
    <cellStyle name="Comma 3 19 8" xfId="755"/>
    <cellStyle name="Comma 3 19 9" xfId="756"/>
    <cellStyle name="Comma 3 2" xfId="757"/>
    <cellStyle name="Comma 3 2 10" xfId="758"/>
    <cellStyle name="Comma 3 2 11" xfId="759"/>
    <cellStyle name="Comma 3 2 12" xfId="760"/>
    <cellStyle name="Comma 3 2 13" xfId="761"/>
    <cellStyle name="Comma 3 2 14" xfId="762"/>
    <cellStyle name="Comma 3 2 15" xfId="763"/>
    <cellStyle name="Comma 3 2 16" xfId="764"/>
    <cellStyle name="Comma 3 2 17" xfId="765"/>
    <cellStyle name="Comma 3 2 18" xfId="766"/>
    <cellStyle name="Comma 3 2 19" xfId="767"/>
    <cellStyle name="Comma 3 2 2" xfId="768"/>
    <cellStyle name="Comma 3 2 20" xfId="769"/>
    <cellStyle name="Comma 3 2 3" xfId="770"/>
    <cellStyle name="Comma 3 2 4" xfId="771"/>
    <cellStyle name="Comma 3 2 5" xfId="772"/>
    <cellStyle name="Comma 3 2 6" xfId="773"/>
    <cellStyle name="Comma 3 2 7" xfId="774"/>
    <cellStyle name="Comma 3 2 8" xfId="775"/>
    <cellStyle name="Comma 3 2 9" xfId="776"/>
    <cellStyle name="Comma 3 20" xfId="777"/>
    <cellStyle name="Comma 3 20 10" xfId="778"/>
    <cellStyle name="Comma 3 20 11" xfId="779"/>
    <cellStyle name="Comma 3 20 12" xfId="780"/>
    <cellStyle name="Comma 3 20 13" xfId="781"/>
    <cellStyle name="Comma 3 20 14" xfId="782"/>
    <cellStyle name="Comma 3 20 15" xfId="783"/>
    <cellStyle name="Comma 3 20 16" xfId="784"/>
    <cellStyle name="Comma 3 20 17" xfId="785"/>
    <cellStyle name="Comma 3 20 18" xfId="786"/>
    <cellStyle name="Comma 3 20 19" xfId="787"/>
    <cellStyle name="Comma 3 20 2" xfId="788"/>
    <cellStyle name="Comma 3 20 20" xfId="789"/>
    <cellStyle name="Comma 3 20 3" xfId="790"/>
    <cellStyle name="Comma 3 20 4" xfId="791"/>
    <cellStyle name="Comma 3 20 5" xfId="792"/>
    <cellStyle name="Comma 3 20 6" xfId="793"/>
    <cellStyle name="Comma 3 20 7" xfId="794"/>
    <cellStyle name="Comma 3 20 8" xfId="795"/>
    <cellStyle name="Comma 3 20 9" xfId="796"/>
    <cellStyle name="Comma 3 21" xfId="797"/>
    <cellStyle name="Comma 3 21 10" xfId="798"/>
    <cellStyle name="Comma 3 21 11" xfId="799"/>
    <cellStyle name="Comma 3 21 12" xfId="800"/>
    <cellStyle name="Comma 3 21 13" xfId="801"/>
    <cellStyle name="Comma 3 21 14" xfId="802"/>
    <cellStyle name="Comma 3 21 15" xfId="803"/>
    <cellStyle name="Comma 3 21 16" xfId="804"/>
    <cellStyle name="Comma 3 21 17" xfId="805"/>
    <cellStyle name="Comma 3 21 18" xfId="806"/>
    <cellStyle name="Comma 3 21 19" xfId="807"/>
    <cellStyle name="Comma 3 21 2" xfId="808"/>
    <cellStyle name="Comma 3 21 20" xfId="809"/>
    <cellStyle name="Comma 3 21 3" xfId="810"/>
    <cellStyle name="Comma 3 21 4" xfId="811"/>
    <cellStyle name="Comma 3 21 5" xfId="812"/>
    <cellStyle name="Comma 3 21 6" xfId="813"/>
    <cellStyle name="Comma 3 21 7" xfId="814"/>
    <cellStyle name="Comma 3 21 8" xfId="815"/>
    <cellStyle name="Comma 3 21 9" xfId="816"/>
    <cellStyle name="Comma 3 22" xfId="817"/>
    <cellStyle name="Comma 3 22 10" xfId="818"/>
    <cellStyle name="Comma 3 22 11" xfId="819"/>
    <cellStyle name="Comma 3 22 12" xfId="820"/>
    <cellStyle name="Comma 3 22 13" xfId="821"/>
    <cellStyle name="Comma 3 22 14" xfId="822"/>
    <cellStyle name="Comma 3 22 15" xfId="823"/>
    <cellStyle name="Comma 3 22 16" xfId="824"/>
    <cellStyle name="Comma 3 22 17" xfId="825"/>
    <cellStyle name="Comma 3 22 18" xfId="826"/>
    <cellStyle name="Comma 3 22 19" xfId="827"/>
    <cellStyle name="Comma 3 22 2" xfId="828"/>
    <cellStyle name="Comma 3 22 20" xfId="829"/>
    <cellStyle name="Comma 3 22 3" xfId="830"/>
    <cellStyle name="Comma 3 22 4" xfId="831"/>
    <cellStyle name="Comma 3 22 5" xfId="832"/>
    <cellStyle name="Comma 3 22 6" xfId="833"/>
    <cellStyle name="Comma 3 22 7" xfId="834"/>
    <cellStyle name="Comma 3 22 8" xfId="835"/>
    <cellStyle name="Comma 3 22 9" xfId="836"/>
    <cellStyle name="Comma 3 23" xfId="837"/>
    <cellStyle name="Comma 3 23 10" xfId="838"/>
    <cellStyle name="Comma 3 23 11" xfId="839"/>
    <cellStyle name="Comma 3 23 12" xfId="840"/>
    <cellStyle name="Comma 3 23 13" xfId="841"/>
    <cellStyle name="Comma 3 23 14" xfId="842"/>
    <cellStyle name="Comma 3 23 15" xfId="843"/>
    <cellStyle name="Comma 3 23 16" xfId="844"/>
    <cellStyle name="Comma 3 23 17" xfId="845"/>
    <cellStyle name="Comma 3 23 18" xfId="846"/>
    <cellStyle name="Comma 3 23 19" xfId="847"/>
    <cellStyle name="Comma 3 23 2" xfId="848"/>
    <cellStyle name="Comma 3 23 20" xfId="849"/>
    <cellStyle name="Comma 3 23 3" xfId="850"/>
    <cellStyle name="Comma 3 23 4" xfId="851"/>
    <cellStyle name="Comma 3 23 5" xfId="852"/>
    <cellStyle name="Comma 3 23 6" xfId="853"/>
    <cellStyle name="Comma 3 23 7" xfId="854"/>
    <cellStyle name="Comma 3 23 8" xfId="855"/>
    <cellStyle name="Comma 3 23 9" xfId="856"/>
    <cellStyle name="Comma 3 24" xfId="857"/>
    <cellStyle name="Comma 3 24 10" xfId="858"/>
    <cellStyle name="Comma 3 24 11" xfId="859"/>
    <cellStyle name="Comma 3 24 12" xfId="860"/>
    <cellStyle name="Comma 3 24 13" xfId="861"/>
    <cellStyle name="Comma 3 24 14" xfId="862"/>
    <cellStyle name="Comma 3 24 15" xfId="863"/>
    <cellStyle name="Comma 3 24 16" xfId="864"/>
    <cellStyle name="Comma 3 24 17" xfId="865"/>
    <cellStyle name="Comma 3 24 18" xfId="866"/>
    <cellStyle name="Comma 3 24 19" xfId="867"/>
    <cellStyle name="Comma 3 24 2" xfId="868"/>
    <cellStyle name="Comma 3 24 20" xfId="869"/>
    <cellStyle name="Comma 3 24 3" xfId="870"/>
    <cellStyle name="Comma 3 24 4" xfId="871"/>
    <cellStyle name="Comma 3 24 5" xfId="872"/>
    <cellStyle name="Comma 3 24 6" xfId="873"/>
    <cellStyle name="Comma 3 24 7" xfId="874"/>
    <cellStyle name="Comma 3 24 8" xfId="875"/>
    <cellStyle name="Comma 3 24 9" xfId="876"/>
    <cellStyle name="Comma 3 25" xfId="877"/>
    <cellStyle name="Comma 3 25 10" xfId="878"/>
    <cellStyle name="Comma 3 25 11" xfId="879"/>
    <cellStyle name="Comma 3 25 12" xfId="880"/>
    <cellStyle name="Comma 3 25 13" xfId="881"/>
    <cellStyle name="Comma 3 25 14" xfId="882"/>
    <cellStyle name="Comma 3 25 15" xfId="883"/>
    <cellStyle name="Comma 3 25 16" xfId="884"/>
    <cellStyle name="Comma 3 25 17" xfId="885"/>
    <cellStyle name="Comma 3 25 18" xfId="886"/>
    <cellStyle name="Comma 3 25 19" xfId="887"/>
    <cellStyle name="Comma 3 25 2" xfId="888"/>
    <cellStyle name="Comma 3 25 20" xfId="889"/>
    <cellStyle name="Comma 3 25 3" xfId="890"/>
    <cellStyle name="Comma 3 25 4" xfId="891"/>
    <cellStyle name="Comma 3 25 5" xfId="892"/>
    <cellStyle name="Comma 3 25 6" xfId="893"/>
    <cellStyle name="Comma 3 25 7" xfId="894"/>
    <cellStyle name="Comma 3 25 8" xfId="895"/>
    <cellStyle name="Comma 3 25 9" xfId="896"/>
    <cellStyle name="Comma 3 26" xfId="897"/>
    <cellStyle name="Comma 3 26 10" xfId="898"/>
    <cellStyle name="Comma 3 26 11" xfId="899"/>
    <cellStyle name="Comma 3 26 12" xfId="900"/>
    <cellStyle name="Comma 3 26 13" xfId="901"/>
    <cellStyle name="Comma 3 26 14" xfId="902"/>
    <cellStyle name="Comma 3 26 15" xfId="903"/>
    <cellStyle name="Comma 3 26 16" xfId="904"/>
    <cellStyle name="Comma 3 26 17" xfId="905"/>
    <cellStyle name="Comma 3 26 18" xfId="906"/>
    <cellStyle name="Comma 3 26 19" xfId="907"/>
    <cellStyle name="Comma 3 26 2" xfId="908"/>
    <cellStyle name="Comma 3 26 20" xfId="909"/>
    <cellStyle name="Comma 3 26 3" xfId="910"/>
    <cellStyle name="Comma 3 26 4" xfId="911"/>
    <cellStyle name="Comma 3 26 5" xfId="912"/>
    <cellStyle name="Comma 3 26 6" xfId="913"/>
    <cellStyle name="Comma 3 26 7" xfId="914"/>
    <cellStyle name="Comma 3 26 8" xfId="915"/>
    <cellStyle name="Comma 3 26 9" xfId="916"/>
    <cellStyle name="Comma 3 27" xfId="917"/>
    <cellStyle name="Comma 3 27 10" xfId="918"/>
    <cellStyle name="Comma 3 27 11" xfId="919"/>
    <cellStyle name="Comma 3 27 12" xfId="920"/>
    <cellStyle name="Comma 3 27 13" xfId="921"/>
    <cellStyle name="Comma 3 27 14" xfId="922"/>
    <cellStyle name="Comma 3 27 15" xfId="923"/>
    <cellStyle name="Comma 3 27 16" xfId="924"/>
    <cellStyle name="Comma 3 27 17" xfId="925"/>
    <cellStyle name="Comma 3 27 18" xfId="926"/>
    <cellStyle name="Comma 3 27 19" xfId="927"/>
    <cellStyle name="Comma 3 27 2" xfId="928"/>
    <cellStyle name="Comma 3 27 20" xfId="929"/>
    <cellStyle name="Comma 3 27 3" xfId="930"/>
    <cellStyle name="Comma 3 27 4" xfId="931"/>
    <cellStyle name="Comma 3 27 5" xfId="932"/>
    <cellStyle name="Comma 3 27 6" xfId="933"/>
    <cellStyle name="Comma 3 27 7" xfId="934"/>
    <cellStyle name="Comma 3 27 8" xfId="935"/>
    <cellStyle name="Comma 3 27 9" xfId="936"/>
    <cellStyle name="Comma 3 28" xfId="937"/>
    <cellStyle name="Comma 3 28 10" xfId="938"/>
    <cellStyle name="Comma 3 28 11" xfId="939"/>
    <cellStyle name="Comma 3 28 12" xfId="940"/>
    <cellStyle name="Comma 3 28 13" xfId="941"/>
    <cellStyle name="Comma 3 28 14" xfId="942"/>
    <cellStyle name="Comma 3 28 15" xfId="943"/>
    <cellStyle name="Comma 3 28 16" xfId="944"/>
    <cellStyle name="Comma 3 28 17" xfId="945"/>
    <cellStyle name="Comma 3 28 18" xfId="946"/>
    <cellStyle name="Comma 3 28 19" xfId="947"/>
    <cellStyle name="Comma 3 28 2" xfId="948"/>
    <cellStyle name="Comma 3 28 20" xfId="949"/>
    <cellStyle name="Comma 3 28 3" xfId="950"/>
    <cellStyle name="Comma 3 28 4" xfId="951"/>
    <cellStyle name="Comma 3 28 5" xfId="952"/>
    <cellStyle name="Comma 3 28 6" xfId="953"/>
    <cellStyle name="Comma 3 28 7" xfId="954"/>
    <cellStyle name="Comma 3 28 8" xfId="955"/>
    <cellStyle name="Comma 3 28 9" xfId="956"/>
    <cellStyle name="Comma 3 29" xfId="957"/>
    <cellStyle name="Comma 3 29 10" xfId="958"/>
    <cellStyle name="Comma 3 29 11" xfId="959"/>
    <cellStyle name="Comma 3 29 12" xfId="960"/>
    <cellStyle name="Comma 3 29 13" xfId="961"/>
    <cellStyle name="Comma 3 29 14" xfId="962"/>
    <cellStyle name="Comma 3 29 15" xfId="963"/>
    <cellStyle name="Comma 3 29 16" xfId="964"/>
    <cellStyle name="Comma 3 29 17" xfId="965"/>
    <cellStyle name="Comma 3 29 18" xfId="966"/>
    <cellStyle name="Comma 3 29 19" xfId="967"/>
    <cellStyle name="Comma 3 29 2" xfId="968"/>
    <cellStyle name="Comma 3 29 20" xfId="969"/>
    <cellStyle name="Comma 3 29 3" xfId="970"/>
    <cellStyle name="Comma 3 29 4" xfId="971"/>
    <cellStyle name="Comma 3 29 5" xfId="972"/>
    <cellStyle name="Comma 3 29 6" xfId="973"/>
    <cellStyle name="Comma 3 29 7" xfId="974"/>
    <cellStyle name="Comma 3 29 8" xfId="975"/>
    <cellStyle name="Comma 3 29 9" xfId="976"/>
    <cellStyle name="Comma 3 3" xfId="977"/>
    <cellStyle name="Comma 3 3 10" xfId="978"/>
    <cellStyle name="Comma 3 3 11" xfId="979"/>
    <cellStyle name="Comma 3 3 12" xfId="980"/>
    <cellStyle name="Comma 3 3 13" xfId="981"/>
    <cellStyle name="Comma 3 3 14" xfId="982"/>
    <cellStyle name="Comma 3 3 15" xfId="983"/>
    <cellStyle name="Comma 3 3 16" xfId="984"/>
    <cellStyle name="Comma 3 3 17" xfId="985"/>
    <cellStyle name="Comma 3 3 18" xfId="986"/>
    <cellStyle name="Comma 3 3 19" xfId="987"/>
    <cellStyle name="Comma 3 3 2" xfId="988"/>
    <cellStyle name="Comma 3 3 20" xfId="989"/>
    <cellStyle name="Comma 3 3 3" xfId="990"/>
    <cellStyle name="Comma 3 3 4" xfId="991"/>
    <cellStyle name="Comma 3 3 5" xfId="992"/>
    <cellStyle name="Comma 3 3 6" xfId="993"/>
    <cellStyle name="Comma 3 3 7" xfId="994"/>
    <cellStyle name="Comma 3 3 8" xfId="995"/>
    <cellStyle name="Comma 3 3 9" xfId="996"/>
    <cellStyle name="Comma 3 30" xfId="997"/>
    <cellStyle name="Comma 3 30 10" xfId="998"/>
    <cellStyle name="Comma 3 30 11" xfId="999"/>
    <cellStyle name="Comma 3 30 12" xfId="1000"/>
    <cellStyle name="Comma 3 30 13" xfId="1001"/>
    <cellStyle name="Comma 3 30 14" xfId="1002"/>
    <cellStyle name="Comma 3 30 15" xfId="1003"/>
    <cellStyle name="Comma 3 30 16" xfId="1004"/>
    <cellStyle name="Comma 3 30 17" xfId="1005"/>
    <cellStyle name="Comma 3 30 18" xfId="1006"/>
    <cellStyle name="Comma 3 30 19" xfId="1007"/>
    <cellStyle name="Comma 3 30 2" xfId="1008"/>
    <cellStyle name="Comma 3 30 20" xfId="1009"/>
    <cellStyle name="Comma 3 30 3" xfId="1010"/>
    <cellStyle name="Comma 3 30 4" xfId="1011"/>
    <cellStyle name="Comma 3 30 5" xfId="1012"/>
    <cellStyle name="Comma 3 30 6" xfId="1013"/>
    <cellStyle name="Comma 3 30 7" xfId="1014"/>
    <cellStyle name="Comma 3 30 8" xfId="1015"/>
    <cellStyle name="Comma 3 30 9" xfId="1016"/>
    <cellStyle name="Comma 3 31" xfId="1017"/>
    <cellStyle name="Comma 3 31 10" xfId="1018"/>
    <cellStyle name="Comma 3 31 11" xfId="1019"/>
    <cellStyle name="Comma 3 31 12" xfId="1020"/>
    <cellStyle name="Comma 3 31 13" xfId="1021"/>
    <cellStyle name="Comma 3 31 14" xfId="1022"/>
    <cellStyle name="Comma 3 31 15" xfId="1023"/>
    <cellStyle name="Comma 3 31 16" xfId="1024"/>
    <cellStyle name="Comma 3 31 17" xfId="1025"/>
    <cellStyle name="Comma 3 31 18" xfId="1026"/>
    <cellStyle name="Comma 3 31 19" xfId="1027"/>
    <cellStyle name="Comma 3 31 2" xfId="1028"/>
    <cellStyle name="Comma 3 31 20" xfId="1029"/>
    <cellStyle name="Comma 3 31 3" xfId="1030"/>
    <cellStyle name="Comma 3 31 4" xfId="1031"/>
    <cellStyle name="Comma 3 31 5" xfId="1032"/>
    <cellStyle name="Comma 3 31 6" xfId="1033"/>
    <cellStyle name="Comma 3 31 7" xfId="1034"/>
    <cellStyle name="Comma 3 31 8" xfId="1035"/>
    <cellStyle name="Comma 3 31 9" xfId="1036"/>
    <cellStyle name="Comma 3 32" xfId="1037"/>
    <cellStyle name="Comma 3 32 10" xfId="1038"/>
    <cellStyle name="Comma 3 32 11" xfId="1039"/>
    <cellStyle name="Comma 3 32 12" xfId="1040"/>
    <cellStyle name="Comma 3 32 13" xfId="1041"/>
    <cellStyle name="Comma 3 32 14" xfId="1042"/>
    <cellStyle name="Comma 3 32 15" xfId="1043"/>
    <cellStyle name="Comma 3 32 16" xfId="1044"/>
    <cellStyle name="Comma 3 32 17" xfId="1045"/>
    <cellStyle name="Comma 3 32 18" xfId="1046"/>
    <cellStyle name="Comma 3 32 19" xfId="1047"/>
    <cellStyle name="Comma 3 32 2" xfId="1048"/>
    <cellStyle name="Comma 3 32 20" xfId="1049"/>
    <cellStyle name="Comma 3 32 3" xfId="1050"/>
    <cellStyle name="Comma 3 32 4" xfId="1051"/>
    <cellStyle name="Comma 3 32 5" xfId="1052"/>
    <cellStyle name="Comma 3 32 6" xfId="1053"/>
    <cellStyle name="Comma 3 32 7" xfId="1054"/>
    <cellStyle name="Comma 3 32 8" xfId="1055"/>
    <cellStyle name="Comma 3 32 9" xfId="1056"/>
    <cellStyle name="Comma 3 33" xfId="1057"/>
    <cellStyle name="Comma 3 33 10" xfId="1058"/>
    <cellStyle name="Comma 3 33 11" xfId="1059"/>
    <cellStyle name="Comma 3 33 12" xfId="1060"/>
    <cellStyle name="Comma 3 33 13" xfId="1061"/>
    <cellStyle name="Comma 3 33 14" xfId="1062"/>
    <cellStyle name="Comma 3 33 15" xfId="1063"/>
    <cellStyle name="Comma 3 33 16" xfId="1064"/>
    <cellStyle name="Comma 3 33 17" xfId="1065"/>
    <cellStyle name="Comma 3 33 18" xfId="1066"/>
    <cellStyle name="Comma 3 33 19" xfId="1067"/>
    <cellStyle name="Comma 3 33 2" xfId="1068"/>
    <cellStyle name="Comma 3 33 20" xfId="1069"/>
    <cellStyle name="Comma 3 33 3" xfId="1070"/>
    <cellStyle name="Comma 3 33 4" xfId="1071"/>
    <cellStyle name="Comma 3 33 5" xfId="1072"/>
    <cellStyle name="Comma 3 33 6" xfId="1073"/>
    <cellStyle name="Comma 3 33 7" xfId="1074"/>
    <cellStyle name="Comma 3 33 8" xfId="1075"/>
    <cellStyle name="Comma 3 33 9" xfId="1076"/>
    <cellStyle name="Comma 3 34" xfId="1077"/>
    <cellStyle name="Comma 3 34 10" xfId="1078"/>
    <cellStyle name="Comma 3 34 11" xfId="1079"/>
    <cellStyle name="Comma 3 34 12" xfId="1080"/>
    <cellStyle name="Comma 3 34 13" xfId="1081"/>
    <cellStyle name="Comma 3 34 14" xfId="1082"/>
    <cellStyle name="Comma 3 34 15" xfId="1083"/>
    <cellStyle name="Comma 3 34 16" xfId="1084"/>
    <cellStyle name="Comma 3 34 17" xfId="1085"/>
    <cellStyle name="Comma 3 34 18" xfId="1086"/>
    <cellStyle name="Comma 3 34 19" xfId="1087"/>
    <cellStyle name="Comma 3 34 2" xfId="1088"/>
    <cellStyle name="Comma 3 34 20" xfId="1089"/>
    <cellStyle name="Comma 3 34 3" xfId="1090"/>
    <cellStyle name="Comma 3 34 4" xfId="1091"/>
    <cellStyle name="Comma 3 34 5" xfId="1092"/>
    <cellStyle name="Comma 3 34 6" xfId="1093"/>
    <cellStyle name="Comma 3 34 7" xfId="1094"/>
    <cellStyle name="Comma 3 34 8" xfId="1095"/>
    <cellStyle name="Comma 3 34 9" xfId="1096"/>
    <cellStyle name="Comma 3 35" xfId="1097"/>
    <cellStyle name="Comma 3 35 10" xfId="1098"/>
    <cellStyle name="Comma 3 35 11" xfId="1099"/>
    <cellStyle name="Comma 3 35 12" xfId="1100"/>
    <cellStyle name="Comma 3 35 13" xfId="1101"/>
    <cellStyle name="Comma 3 35 14" xfId="1102"/>
    <cellStyle name="Comma 3 35 15" xfId="1103"/>
    <cellStyle name="Comma 3 35 16" xfId="1104"/>
    <cellStyle name="Comma 3 35 17" xfId="1105"/>
    <cellStyle name="Comma 3 35 18" xfId="1106"/>
    <cellStyle name="Comma 3 35 19" xfId="1107"/>
    <cellStyle name="Comma 3 35 2" xfId="1108"/>
    <cellStyle name="Comma 3 35 20" xfId="1109"/>
    <cellStyle name="Comma 3 35 3" xfId="1110"/>
    <cellStyle name="Comma 3 35 4" xfId="1111"/>
    <cellStyle name="Comma 3 35 5" xfId="1112"/>
    <cellStyle name="Comma 3 35 6" xfId="1113"/>
    <cellStyle name="Comma 3 35 7" xfId="1114"/>
    <cellStyle name="Comma 3 35 8" xfId="1115"/>
    <cellStyle name="Comma 3 35 9" xfId="1116"/>
    <cellStyle name="Comma 3 36" xfId="1117"/>
    <cellStyle name="Comma 3 36 10" xfId="1118"/>
    <cellStyle name="Comma 3 36 11" xfId="1119"/>
    <cellStyle name="Comma 3 36 12" xfId="1120"/>
    <cellStyle name="Comma 3 36 13" xfId="1121"/>
    <cellStyle name="Comma 3 36 14" xfId="1122"/>
    <cellStyle name="Comma 3 36 15" xfId="1123"/>
    <cellStyle name="Comma 3 36 16" xfId="1124"/>
    <cellStyle name="Comma 3 36 17" xfId="1125"/>
    <cellStyle name="Comma 3 36 18" xfId="1126"/>
    <cellStyle name="Comma 3 36 19" xfId="1127"/>
    <cellStyle name="Comma 3 36 2" xfId="1128"/>
    <cellStyle name="Comma 3 36 20" xfId="1129"/>
    <cellStyle name="Comma 3 36 3" xfId="1130"/>
    <cellStyle name="Comma 3 36 4" xfId="1131"/>
    <cellStyle name="Comma 3 36 5" xfId="1132"/>
    <cellStyle name="Comma 3 36 6" xfId="1133"/>
    <cellStyle name="Comma 3 36 7" xfId="1134"/>
    <cellStyle name="Comma 3 36 8" xfId="1135"/>
    <cellStyle name="Comma 3 36 9" xfId="1136"/>
    <cellStyle name="Comma 3 37" xfId="1137"/>
    <cellStyle name="Comma 3 37 10" xfId="1138"/>
    <cellStyle name="Comma 3 37 11" xfId="1139"/>
    <cellStyle name="Comma 3 37 12" xfId="1140"/>
    <cellStyle name="Comma 3 37 13" xfId="1141"/>
    <cellStyle name="Comma 3 37 14" xfId="1142"/>
    <cellStyle name="Comma 3 37 15" xfId="1143"/>
    <cellStyle name="Comma 3 37 16" xfId="1144"/>
    <cellStyle name="Comma 3 37 17" xfId="1145"/>
    <cellStyle name="Comma 3 37 18" xfId="1146"/>
    <cellStyle name="Comma 3 37 19" xfId="1147"/>
    <cellStyle name="Comma 3 37 2" xfId="1148"/>
    <cellStyle name="Comma 3 37 20" xfId="1149"/>
    <cellStyle name="Comma 3 37 3" xfId="1150"/>
    <cellStyle name="Comma 3 37 4" xfId="1151"/>
    <cellStyle name="Comma 3 37 5" xfId="1152"/>
    <cellStyle name="Comma 3 37 6" xfId="1153"/>
    <cellStyle name="Comma 3 37 7" xfId="1154"/>
    <cellStyle name="Comma 3 37 8" xfId="1155"/>
    <cellStyle name="Comma 3 37 9" xfId="1156"/>
    <cellStyle name="Comma 3 38" xfId="1157"/>
    <cellStyle name="Comma 3 38 10" xfId="1158"/>
    <cellStyle name="Comma 3 38 11" xfId="1159"/>
    <cellStyle name="Comma 3 38 12" xfId="1160"/>
    <cellStyle name="Comma 3 38 13" xfId="1161"/>
    <cellStyle name="Comma 3 38 14" xfId="1162"/>
    <cellStyle name="Comma 3 38 15" xfId="1163"/>
    <cellStyle name="Comma 3 38 16" xfId="1164"/>
    <cellStyle name="Comma 3 38 17" xfId="1165"/>
    <cellStyle name="Comma 3 38 18" xfId="1166"/>
    <cellStyle name="Comma 3 38 19" xfId="1167"/>
    <cellStyle name="Comma 3 38 2" xfId="1168"/>
    <cellStyle name="Comma 3 38 20" xfId="1169"/>
    <cellStyle name="Comma 3 38 3" xfId="1170"/>
    <cellStyle name="Comma 3 38 4" xfId="1171"/>
    <cellStyle name="Comma 3 38 5" xfId="1172"/>
    <cellStyle name="Comma 3 38 6" xfId="1173"/>
    <cellStyle name="Comma 3 38 7" xfId="1174"/>
    <cellStyle name="Comma 3 38 8" xfId="1175"/>
    <cellStyle name="Comma 3 38 9" xfId="1176"/>
    <cellStyle name="Comma 3 39" xfId="1177"/>
    <cellStyle name="Comma 3 39 10" xfId="1178"/>
    <cellStyle name="Comma 3 39 11" xfId="1179"/>
    <cellStyle name="Comma 3 39 12" xfId="1180"/>
    <cellStyle name="Comma 3 39 13" xfId="1181"/>
    <cellStyle name="Comma 3 39 14" xfId="1182"/>
    <cellStyle name="Comma 3 39 15" xfId="1183"/>
    <cellStyle name="Comma 3 39 16" xfId="1184"/>
    <cellStyle name="Comma 3 39 17" xfId="1185"/>
    <cellStyle name="Comma 3 39 18" xfId="1186"/>
    <cellStyle name="Comma 3 39 19" xfId="1187"/>
    <cellStyle name="Comma 3 39 2" xfId="1188"/>
    <cellStyle name="Comma 3 39 20" xfId="1189"/>
    <cellStyle name="Comma 3 39 3" xfId="1190"/>
    <cellStyle name="Comma 3 39 4" xfId="1191"/>
    <cellStyle name="Comma 3 39 5" xfId="1192"/>
    <cellStyle name="Comma 3 39 6" xfId="1193"/>
    <cellStyle name="Comma 3 39 7" xfId="1194"/>
    <cellStyle name="Comma 3 39 8" xfId="1195"/>
    <cellStyle name="Comma 3 39 9" xfId="1196"/>
    <cellStyle name="Comma 3 4" xfId="1197"/>
    <cellStyle name="Comma 3 4 10" xfId="1198"/>
    <cellStyle name="Comma 3 4 11" xfId="1199"/>
    <cellStyle name="Comma 3 4 12" xfId="1200"/>
    <cellStyle name="Comma 3 4 13" xfId="1201"/>
    <cellStyle name="Comma 3 4 14" xfId="1202"/>
    <cellStyle name="Comma 3 4 15" xfId="1203"/>
    <cellStyle name="Comma 3 4 16" xfId="1204"/>
    <cellStyle name="Comma 3 4 17" xfId="1205"/>
    <cellStyle name="Comma 3 4 18" xfId="1206"/>
    <cellStyle name="Comma 3 4 19" xfId="1207"/>
    <cellStyle name="Comma 3 4 2" xfId="1208"/>
    <cellStyle name="Comma 3 4 20" xfId="1209"/>
    <cellStyle name="Comma 3 4 3" xfId="1210"/>
    <cellStyle name="Comma 3 4 4" xfId="1211"/>
    <cellStyle name="Comma 3 4 5" xfId="1212"/>
    <cellStyle name="Comma 3 4 6" xfId="1213"/>
    <cellStyle name="Comma 3 4 7" xfId="1214"/>
    <cellStyle name="Comma 3 4 8" xfId="1215"/>
    <cellStyle name="Comma 3 4 9" xfId="1216"/>
    <cellStyle name="Comma 3 40" xfId="1217"/>
    <cellStyle name="Comma 3 40 10" xfId="1218"/>
    <cellStyle name="Comma 3 40 11" xfId="1219"/>
    <cellStyle name="Comma 3 40 12" xfId="1220"/>
    <cellStyle name="Comma 3 40 13" xfId="1221"/>
    <cellStyle name="Comma 3 40 14" xfId="1222"/>
    <cellStyle name="Comma 3 40 15" xfId="1223"/>
    <cellStyle name="Comma 3 40 16" xfId="1224"/>
    <cellStyle name="Comma 3 40 17" xfId="1225"/>
    <cellStyle name="Comma 3 40 18" xfId="1226"/>
    <cellStyle name="Comma 3 40 19" xfId="1227"/>
    <cellStyle name="Comma 3 40 2" xfId="1228"/>
    <cellStyle name="Comma 3 40 20" xfId="1229"/>
    <cellStyle name="Comma 3 40 3" xfId="1230"/>
    <cellStyle name="Comma 3 40 4" xfId="1231"/>
    <cellStyle name="Comma 3 40 5" xfId="1232"/>
    <cellStyle name="Comma 3 40 6" xfId="1233"/>
    <cellStyle name="Comma 3 40 7" xfId="1234"/>
    <cellStyle name="Comma 3 40 8" xfId="1235"/>
    <cellStyle name="Comma 3 40 9" xfId="1236"/>
    <cellStyle name="Comma 3 41" xfId="1237"/>
    <cellStyle name="Comma 3 41 10" xfId="1238"/>
    <cellStyle name="Comma 3 41 11" xfId="1239"/>
    <cellStyle name="Comma 3 41 12" xfId="1240"/>
    <cellStyle name="Comma 3 41 13" xfId="1241"/>
    <cellStyle name="Comma 3 41 14" xfId="1242"/>
    <cellStyle name="Comma 3 41 15" xfId="1243"/>
    <cellStyle name="Comma 3 41 16" xfId="1244"/>
    <cellStyle name="Comma 3 41 17" xfId="1245"/>
    <cellStyle name="Comma 3 41 18" xfId="1246"/>
    <cellStyle name="Comma 3 41 19" xfId="1247"/>
    <cellStyle name="Comma 3 41 2" xfId="1248"/>
    <cellStyle name="Comma 3 41 20" xfId="1249"/>
    <cellStyle name="Comma 3 41 3" xfId="1250"/>
    <cellStyle name="Comma 3 41 4" xfId="1251"/>
    <cellStyle name="Comma 3 41 5" xfId="1252"/>
    <cellStyle name="Comma 3 41 6" xfId="1253"/>
    <cellStyle name="Comma 3 41 7" xfId="1254"/>
    <cellStyle name="Comma 3 41 8" xfId="1255"/>
    <cellStyle name="Comma 3 41 9" xfId="1256"/>
    <cellStyle name="Comma 3 42" xfId="1257"/>
    <cellStyle name="Comma 3 42 10" xfId="1258"/>
    <cellStyle name="Comma 3 42 11" xfId="1259"/>
    <cellStyle name="Comma 3 42 12" xfId="1260"/>
    <cellStyle name="Comma 3 42 13" xfId="1261"/>
    <cellStyle name="Comma 3 42 14" xfId="1262"/>
    <cellStyle name="Comma 3 42 15" xfId="1263"/>
    <cellStyle name="Comma 3 42 16" xfId="1264"/>
    <cellStyle name="Comma 3 42 17" xfId="1265"/>
    <cellStyle name="Comma 3 42 18" xfId="1266"/>
    <cellStyle name="Comma 3 42 19" xfId="1267"/>
    <cellStyle name="Comma 3 42 2" xfId="1268"/>
    <cellStyle name="Comma 3 42 20" xfId="1269"/>
    <cellStyle name="Comma 3 42 3" xfId="1270"/>
    <cellStyle name="Comma 3 42 4" xfId="1271"/>
    <cellStyle name="Comma 3 42 5" xfId="1272"/>
    <cellStyle name="Comma 3 42 6" xfId="1273"/>
    <cellStyle name="Comma 3 42 7" xfId="1274"/>
    <cellStyle name="Comma 3 42 8" xfId="1275"/>
    <cellStyle name="Comma 3 42 9" xfId="1276"/>
    <cellStyle name="Comma 3 43" xfId="1277"/>
    <cellStyle name="Comma 3 43 10" xfId="1278"/>
    <cellStyle name="Comma 3 43 11" xfId="1279"/>
    <cellStyle name="Comma 3 43 12" xfId="1280"/>
    <cellStyle name="Comma 3 43 13" xfId="1281"/>
    <cellStyle name="Comma 3 43 14" xfId="1282"/>
    <cellStyle name="Comma 3 43 15" xfId="1283"/>
    <cellStyle name="Comma 3 43 16" xfId="1284"/>
    <cellStyle name="Comma 3 43 17" xfId="1285"/>
    <cellStyle name="Comma 3 43 18" xfId="1286"/>
    <cellStyle name="Comma 3 43 19" xfId="1287"/>
    <cellStyle name="Comma 3 43 2" xfId="1288"/>
    <cellStyle name="Comma 3 43 20" xfId="1289"/>
    <cellStyle name="Comma 3 43 3" xfId="1290"/>
    <cellStyle name="Comma 3 43 4" xfId="1291"/>
    <cellStyle name="Comma 3 43 5" xfId="1292"/>
    <cellStyle name="Comma 3 43 6" xfId="1293"/>
    <cellStyle name="Comma 3 43 7" xfId="1294"/>
    <cellStyle name="Comma 3 43 8" xfId="1295"/>
    <cellStyle name="Comma 3 43 9" xfId="1296"/>
    <cellStyle name="Comma 3 44" xfId="1297"/>
    <cellStyle name="Comma 3 44 10" xfId="1298"/>
    <cellStyle name="Comma 3 44 11" xfId="1299"/>
    <cellStyle name="Comma 3 44 12" xfId="1300"/>
    <cellStyle name="Comma 3 44 13" xfId="1301"/>
    <cellStyle name="Comma 3 44 14" xfId="1302"/>
    <cellStyle name="Comma 3 44 15" xfId="1303"/>
    <cellStyle name="Comma 3 44 16" xfId="1304"/>
    <cellStyle name="Comma 3 44 17" xfId="1305"/>
    <cellStyle name="Comma 3 44 18" xfId="1306"/>
    <cellStyle name="Comma 3 44 19" xfId="1307"/>
    <cellStyle name="Comma 3 44 2" xfId="1308"/>
    <cellStyle name="Comma 3 44 20" xfId="1309"/>
    <cellStyle name="Comma 3 44 3" xfId="1310"/>
    <cellStyle name="Comma 3 44 4" xfId="1311"/>
    <cellStyle name="Comma 3 44 5" xfId="1312"/>
    <cellStyle name="Comma 3 44 6" xfId="1313"/>
    <cellStyle name="Comma 3 44 7" xfId="1314"/>
    <cellStyle name="Comma 3 44 8" xfId="1315"/>
    <cellStyle name="Comma 3 44 9" xfId="1316"/>
    <cellStyle name="Comma 3 45" xfId="1317"/>
    <cellStyle name="Comma 3 45 2" xfId="1318"/>
    <cellStyle name="Comma 3 46" xfId="1319"/>
    <cellStyle name="Comma 3 46 2" xfId="1320"/>
    <cellStyle name="Comma 3 47" xfId="1321"/>
    <cellStyle name="Comma 3 47 2" xfId="1322"/>
    <cellStyle name="Comma 3 48" xfId="1323"/>
    <cellStyle name="Comma 3 48 2" xfId="1324"/>
    <cellStyle name="Comma 3 49" xfId="1325"/>
    <cellStyle name="Comma 3 49 2" xfId="1326"/>
    <cellStyle name="Comma 3 5" xfId="1327"/>
    <cellStyle name="Comma 3 5 10" xfId="1328"/>
    <cellStyle name="Comma 3 5 11" xfId="1329"/>
    <cellStyle name="Comma 3 5 12" xfId="1330"/>
    <cellStyle name="Comma 3 5 13" xfId="1331"/>
    <cellStyle name="Comma 3 5 14" xfId="1332"/>
    <cellStyle name="Comma 3 5 15" xfId="1333"/>
    <cellStyle name="Comma 3 5 16" xfId="1334"/>
    <cellStyle name="Comma 3 5 17" xfId="1335"/>
    <cellStyle name="Comma 3 5 18" xfId="1336"/>
    <cellStyle name="Comma 3 5 19" xfId="1337"/>
    <cellStyle name="Comma 3 5 2" xfId="1338"/>
    <cellStyle name="Comma 3 5 20" xfId="1339"/>
    <cellStyle name="Comma 3 5 3" xfId="1340"/>
    <cellStyle name="Comma 3 5 4" xfId="1341"/>
    <cellStyle name="Comma 3 5 5" xfId="1342"/>
    <cellStyle name="Comma 3 5 6" xfId="1343"/>
    <cellStyle name="Comma 3 5 7" xfId="1344"/>
    <cellStyle name="Comma 3 5 8" xfId="1345"/>
    <cellStyle name="Comma 3 5 9" xfId="1346"/>
    <cellStyle name="Comma 3 50" xfId="1347"/>
    <cellStyle name="Comma 3 50 2" xfId="1348"/>
    <cellStyle name="Comma 3 51" xfId="1349"/>
    <cellStyle name="Comma 3 51 2" xfId="1350"/>
    <cellStyle name="Comma 3 52" xfId="1351"/>
    <cellStyle name="Comma 3 52 2" xfId="1352"/>
    <cellStyle name="Comma 3 53" xfId="1353"/>
    <cellStyle name="Comma 3 53 2" xfId="1354"/>
    <cellStyle name="Comma 3 54" xfId="1355"/>
    <cellStyle name="Comma 3 54 2" xfId="1356"/>
    <cellStyle name="Comma 3 55" xfId="1357"/>
    <cellStyle name="Comma 3 55 2" xfId="1358"/>
    <cellStyle name="Comma 3 56" xfId="1359"/>
    <cellStyle name="Comma 3 56 2" xfId="1360"/>
    <cellStyle name="Comma 3 57" xfId="1361"/>
    <cellStyle name="Comma 3 57 2" xfId="1362"/>
    <cellStyle name="Comma 3 58" xfId="1363"/>
    <cellStyle name="Comma 3 58 2" xfId="1364"/>
    <cellStyle name="Comma 3 59" xfId="1365"/>
    <cellStyle name="Comma 3 59 2" xfId="1366"/>
    <cellStyle name="Comma 3 6" xfId="1367"/>
    <cellStyle name="Comma 3 6 10" xfId="1368"/>
    <cellStyle name="Comma 3 6 11" xfId="1369"/>
    <cellStyle name="Comma 3 6 12" xfId="1370"/>
    <cellStyle name="Comma 3 6 13" xfId="1371"/>
    <cellStyle name="Comma 3 6 14" xfId="1372"/>
    <cellStyle name="Comma 3 6 15" xfId="1373"/>
    <cellStyle name="Comma 3 6 16" xfId="1374"/>
    <cellStyle name="Comma 3 6 17" xfId="1375"/>
    <cellStyle name="Comma 3 6 18" xfId="1376"/>
    <cellStyle name="Comma 3 6 19" xfId="1377"/>
    <cellStyle name="Comma 3 6 2" xfId="1378"/>
    <cellStyle name="Comma 3 6 20" xfId="1379"/>
    <cellStyle name="Comma 3 6 3" xfId="1380"/>
    <cellStyle name="Comma 3 6 4" xfId="1381"/>
    <cellStyle name="Comma 3 6 5" xfId="1382"/>
    <cellStyle name="Comma 3 6 6" xfId="1383"/>
    <cellStyle name="Comma 3 6 7" xfId="1384"/>
    <cellStyle name="Comma 3 6 8" xfId="1385"/>
    <cellStyle name="Comma 3 6 9" xfId="1386"/>
    <cellStyle name="Comma 3 60" xfId="1387"/>
    <cellStyle name="Comma 3 60 2" xfId="1388"/>
    <cellStyle name="Comma 3 61" xfId="1389"/>
    <cellStyle name="Comma 3 61 2" xfId="1390"/>
    <cellStyle name="Comma 3 62" xfId="1391"/>
    <cellStyle name="Comma 3 62 2" xfId="1392"/>
    <cellStyle name="Comma 3 63" xfId="1393"/>
    <cellStyle name="Comma 3 63 2" xfId="1394"/>
    <cellStyle name="Comma 3 64" xfId="1395"/>
    <cellStyle name="Comma 3 64 2" xfId="1396"/>
    <cellStyle name="Comma 3 65" xfId="1397"/>
    <cellStyle name="Comma 3 65 2" xfId="1398"/>
    <cellStyle name="Comma 3 66" xfId="1399"/>
    <cellStyle name="Comma 3 66 2" xfId="1400"/>
    <cellStyle name="Comma 3 67" xfId="1401"/>
    <cellStyle name="Comma 3 67 2" xfId="1402"/>
    <cellStyle name="Comma 3 68" xfId="1403"/>
    <cellStyle name="Comma 3 68 2" xfId="1404"/>
    <cellStyle name="Comma 3 69" xfId="1405"/>
    <cellStyle name="Comma 3 69 2" xfId="1406"/>
    <cellStyle name="Comma 3 7" xfId="1407"/>
    <cellStyle name="Comma 3 7 10" xfId="1408"/>
    <cellStyle name="Comma 3 7 11" xfId="1409"/>
    <cellStyle name="Comma 3 7 12" xfId="1410"/>
    <cellStyle name="Comma 3 7 13" xfId="1411"/>
    <cellStyle name="Comma 3 7 14" xfId="1412"/>
    <cellStyle name="Comma 3 7 15" xfId="1413"/>
    <cellStyle name="Comma 3 7 16" xfId="1414"/>
    <cellStyle name="Comma 3 7 17" xfId="1415"/>
    <cellStyle name="Comma 3 7 18" xfId="1416"/>
    <cellStyle name="Comma 3 7 19" xfId="1417"/>
    <cellStyle name="Comma 3 7 2" xfId="1418"/>
    <cellStyle name="Comma 3 7 20" xfId="1419"/>
    <cellStyle name="Comma 3 7 3" xfId="1420"/>
    <cellStyle name="Comma 3 7 4" xfId="1421"/>
    <cellStyle name="Comma 3 7 5" xfId="1422"/>
    <cellStyle name="Comma 3 7 6" xfId="1423"/>
    <cellStyle name="Comma 3 7 7" xfId="1424"/>
    <cellStyle name="Comma 3 7 8" xfId="1425"/>
    <cellStyle name="Comma 3 7 9" xfId="1426"/>
    <cellStyle name="Comma 3 70" xfId="1427"/>
    <cellStyle name="Comma 3 70 2" xfId="1428"/>
    <cellStyle name="Comma 3 71" xfId="1429"/>
    <cellStyle name="Comma 3 71 2" xfId="1430"/>
    <cellStyle name="Comma 3 72" xfId="1431"/>
    <cellStyle name="Comma 3 72 2" xfId="1432"/>
    <cellStyle name="Comma 3 73" xfId="1433"/>
    <cellStyle name="Comma 3 73 2" xfId="1434"/>
    <cellStyle name="Comma 3 74" xfId="1435"/>
    <cellStyle name="Comma 3 74 2" xfId="1436"/>
    <cellStyle name="Comma 3 75" xfId="1437"/>
    <cellStyle name="Comma 3 75 2" xfId="1438"/>
    <cellStyle name="Comma 3 76" xfId="1439"/>
    <cellStyle name="Comma 3 76 2" xfId="1440"/>
    <cellStyle name="Comma 3 77" xfId="1441"/>
    <cellStyle name="Comma 3 77 2" xfId="1442"/>
    <cellStyle name="Comma 3 78" xfId="1443"/>
    <cellStyle name="Comma 3 78 2" xfId="1444"/>
    <cellStyle name="Comma 3 79" xfId="1445"/>
    <cellStyle name="Comma 3 79 2" xfId="1446"/>
    <cellStyle name="Comma 3 8" xfId="1447"/>
    <cellStyle name="Comma 3 8 10" xfId="1448"/>
    <cellStyle name="Comma 3 8 11" xfId="1449"/>
    <cellStyle name="Comma 3 8 12" xfId="1450"/>
    <cellStyle name="Comma 3 8 13" xfId="1451"/>
    <cellStyle name="Comma 3 8 14" xfId="1452"/>
    <cellStyle name="Comma 3 8 15" xfId="1453"/>
    <cellStyle name="Comma 3 8 16" xfId="1454"/>
    <cellStyle name="Comma 3 8 17" xfId="1455"/>
    <cellStyle name="Comma 3 8 18" xfId="1456"/>
    <cellStyle name="Comma 3 8 19" xfId="1457"/>
    <cellStyle name="Comma 3 8 2" xfId="1458"/>
    <cellStyle name="Comma 3 8 20" xfId="1459"/>
    <cellStyle name="Comma 3 8 3" xfId="1460"/>
    <cellStyle name="Comma 3 8 4" xfId="1461"/>
    <cellStyle name="Comma 3 8 5" xfId="1462"/>
    <cellStyle name="Comma 3 8 6" xfId="1463"/>
    <cellStyle name="Comma 3 8 7" xfId="1464"/>
    <cellStyle name="Comma 3 8 8" xfId="1465"/>
    <cellStyle name="Comma 3 8 9" xfId="1466"/>
    <cellStyle name="Comma 3 80" xfId="1467"/>
    <cellStyle name="Comma 3 80 2" xfId="1468"/>
    <cellStyle name="Comma 3 81" xfId="1469"/>
    <cellStyle name="Comma 3 81 2" xfId="1470"/>
    <cellStyle name="Comma 3 82" xfId="1471"/>
    <cellStyle name="Comma 3 82 2" xfId="1472"/>
    <cellStyle name="Comma 3 83" xfId="1473"/>
    <cellStyle name="Comma 3 83 2" xfId="1474"/>
    <cellStyle name="Comma 3 84" xfId="1475"/>
    <cellStyle name="Comma 3 84 2" xfId="1476"/>
    <cellStyle name="Comma 3 85" xfId="1477"/>
    <cellStyle name="Comma 3 85 2" xfId="1478"/>
    <cellStyle name="Comma 3 86" xfId="1479"/>
    <cellStyle name="Comma 3 86 2" xfId="1480"/>
    <cellStyle name="Comma 3 87" xfId="1481"/>
    <cellStyle name="Comma 3 87 2" xfId="1482"/>
    <cellStyle name="Comma 3 88" xfId="1483"/>
    <cellStyle name="Comma 3 88 2" xfId="1484"/>
    <cellStyle name="Comma 3 89" xfId="1485"/>
    <cellStyle name="Comma 3 89 2" xfId="1486"/>
    <cellStyle name="Comma 3 9" xfId="1487"/>
    <cellStyle name="Comma 3 9 10" xfId="1488"/>
    <cellStyle name="Comma 3 9 11" xfId="1489"/>
    <cellStyle name="Comma 3 9 12" xfId="1490"/>
    <cellStyle name="Comma 3 9 13" xfId="1491"/>
    <cellStyle name="Comma 3 9 14" xfId="1492"/>
    <cellStyle name="Comma 3 9 15" xfId="1493"/>
    <cellStyle name="Comma 3 9 16" xfId="1494"/>
    <cellStyle name="Comma 3 9 17" xfId="1495"/>
    <cellStyle name="Comma 3 9 18" xfId="1496"/>
    <cellStyle name="Comma 3 9 19" xfId="1497"/>
    <cellStyle name="Comma 3 9 2" xfId="1498"/>
    <cellStyle name="Comma 3 9 20" xfId="1499"/>
    <cellStyle name="Comma 3 9 3" xfId="1500"/>
    <cellStyle name="Comma 3 9 4" xfId="1501"/>
    <cellStyle name="Comma 3 9 5" xfId="1502"/>
    <cellStyle name="Comma 3 9 6" xfId="1503"/>
    <cellStyle name="Comma 3 9 7" xfId="1504"/>
    <cellStyle name="Comma 3 9 8" xfId="1505"/>
    <cellStyle name="Comma 3 9 9" xfId="1506"/>
    <cellStyle name="Comma 3 90" xfId="1507"/>
    <cellStyle name="Comma 3 90 2" xfId="1508"/>
    <cellStyle name="Comma 3 91" xfId="1509"/>
    <cellStyle name="Comma 3 91 2" xfId="1510"/>
    <cellStyle name="Comma 3 92" xfId="1511"/>
    <cellStyle name="Comma 3 92 2" xfId="1512"/>
    <cellStyle name="Comma 3 93" xfId="1513"/>
    <cellStyle name="Comma 3 93 2" xfId="1514"/>
    <cellStyle name="Comma 3 94" xfId="1515"/>
    <cellStyle name="Comma 3 94 2" xfId="1516"/>
    <cellStyle name="Comma 3 95" xfId="1517"/>
    <cellStyle name="Comma 3 95 2" xfId="1518"/>
    <cellStyle name="Comma 3 96" xfId="1519"/>
    <cellStyle name="Comma 3 96 2" xfId="1520"/>
    <cellStyle name="Comma 3 97" xfId="1521"/>
    <cellStyle name="Comma 3 97 2" xfId="1522"/>
    <cellStyle name="Comma 3 98" xfId="1523"/>
    <cellStyle name="Comma 3 98 2" xfId="1524"/>
    <cellStyle name="Comma 3 99" xfId="1525"/>
    <cellStyle name="Comma 3 99 2" xfId="1526"/>
    <cellStyle name="Comma 5" xfId="1527"/>
    <cellStyle name="Comma 8" xfId="1528"/>
    <cellStyle name="Comma 8 10" xfId="1529"/>
    <cellStyle name="Comma 8 11" xfId="1530"/>
    <cellStyle name="Comma 8 12" xfId="1531"/>
    <cellStyle name="Comma 8 13" xfId="1532"/>
    <cellStyle name="Comma 8 14" xfId="1533"/>
    <cellStyle name="Comma 8 15" xfId="1534"/>
    <cellStyle name="Comma 8 16" xfId="1535"/>
    <cellStyle name="Comma 8 17" xfId="1536"/>
    <cellStyle name="Comma 8 18" xfId="1537"/>
    <cellStyle name="Comma 8 19" xfId="1538"/>
    <cellStyle name="Comma 8 2" xfId="1539"/>
    <cellStyle name="Comma 8 2 10" xfId="1540"/>
    <cellStyle name="Comma 8 2 11" xfId="1541"/>
    <cellStyle name="Comma 8 2 12" xfId="1542"/>
    <cellStyle name="Comma 8 2 13" xfId="1543"/>
    <cellStyle name="Comma 8 2 14" xfId="1544"/>
    <cellStyle name="Comma 8 2 15" xfId="1545"/>
    <cellStyle name="Comma 8 2 16" xfId="1546"/>
    <cellStyle name="Comma 8 2 17" xfId="1547"/>
    <cellStyle name="Comma 8 2 18" xfId="1548"/>
    <cellStyle name="Comma 8 2 19" xfId="1549"/>
    <cellStyle name="Comma 8 2 2" xfId="1550"/>
    <cellStyle name="Comma 8 2 20" xfId="1551"/>
    <cellStyle name="Comma 8 2 3" xfId="1552"/>
    <cellStyle name="Comma 8 2 4" xfId="1553"/>
    <cellStyle name="Comma 8 2 5" xfId="1554"/>
    <cellStyle name="Comma 8 2 6" xfId="1555"/>
    <cellStyle name="Comma 8 2 7" xfId="1556"/>
    <cellStyle name="Comma 8 2 8" xfId="1557"/>
    <cellStyle name="Comma 8 2 9" xfId="1558"/>
    <cellStyle name="Comma 8 20" xfId="1559"/>
    <cellStyle name="Comma 8 21" xfId="1560"/>
    <cellStyle name="Comma 8 3" xfId="1561"/>
    <cellStyle name="Comma 8 4" xfId="1562"/>
    <cellStyle name="Comma 8 5" xfId="1563"/>
    <cellStyle name="Comma 8 6" xfId="1564"/>
    <cellStyle name="Comma 8 7" xfId="1565"/>
    <cellStyle name="Comma 8 8" xfId="1566"/>
    <cellStyle name="Comma 8 9" xfId="1567"/>
    <cellStyle name="Comma 9" xfId="1568"/>
    <cellStyle name="Comma 9 10" xfId="1569"/>
    <cellStyle name="Comma 9 11" xfId="1570"/>
    <cellStyle name="Comma 9 12" xfId="1571"/>
    <cellStyle name="Comma 9 13" xfId="1572"/>
    <cellStyle name="Comma 9 14" xfId="1573"/>
    <cellStyle name="Comma 9 15" xfId="1574"/>
    <cellStyle name="Comma 9 16" xfId="1575"/>
    <cellStyle name="Comma 9 17" xfId="1576"/>
    <cellStyle name="Comma 9 18" xfId="1577"/>
    <cellStyle name="Comma 9 19" xfId="1578"/>
    <cellStyle name="Comma 9 2" xfId="1579"/>
    <cellStyle name="Comma 9 2 10" xfId="1580"/>
    <cellStyle name="Comma 9 2 11" xfId="1581"/>
    <cellStyle name="Comma 9 2 12" xfId="1582"/>
    <cellStyle name="Comma 9 2 13" xfId="1583"/>
    <cellStyle name="Comma 9 2 14" xfId="1584"/>
    <cellStyle name="Comma 9 2 15" xfId="1585"/>
    <cellStyle name="Comma 9 2 16" xfId="1586"/>
    <cellStyle name="Comma 9 2 17" xfId="1587"/>
    <cellStyle name="Comma 9 2 18" xfId="1588"/>
    <cellStyle name="Comma 9 2 19" xfId="1589"/>
    <cellStyle name="Comma 9 2 2" xfId="1590"/>
    <cellStyle name="Comma 9 2 20" xfId="1591"/>
    <cellStyle name="Comma 9 2 3" xfId="1592"/>
    <cellStyle name="Comma 9 2 4" xfId="1593"/>
    <cellStyle name="Comma 9 2 5" xfId="1594"/>
    <cellStyle name="Comma 9 2 6" xfId="1595"/>
    <cellStyle name="Comma 9 2 7" xfId="1596"/>
    <cellStyle name="Comma 9 2 8" xfId="1597"/>
    <cellStyle name="Comma 9 2 9" xfId="1598"/>
    <cellStyle name="Comma 9 20" xfId="1599"/>
    <cellStyle name="Comma 9 21" xfId="1600"/>
    <cellStyle name="Comma 9 3" xfId="1601"/>
    <cellStyle name="Comma 9 4" xfId="1602"/>
    <cellStyle name="Comma 9 5" xfId="1603"/>
    <cellStyle name="Comma 9 6" xfId="1604"/>
    <cellStyle name="Comma 9 7" xfId="1605"/>
    <cellStyle name="Comma 9 8" xfId="1606"/>
    <cellStyle name="Comma 9 9" xfId="1607"/>
    <cellStyle name="Hyperlink 2" xfId="1608"/>
    <cellStyle name="Normal" xfId="0" builtinId="0"/>
    <cellStyle name="Normal 12 2" xfId="1609"/>
    <cellStyle name="Normal 2" xfId="1610"/>
    <cellStyle name="Normal 2 10" xfId="1611"/>
    <cellStyle name="Normal 2 100" xfId="1612"/>
    <cellStyle name="Normal 2 101" xfId="1613"/>
    <cellStyle name="Normal 2 102" xfId="1614"/>
    <cellStyle name="Normal 2 103" xfId="1615"/>
    <cellStyle name="Normal 2 104" xfId="1616"/>
    <cellStyle name="Normal 2 105" xfId="1617"/>
    <cellStyle name="Normal 2 106" xfId="1618"/>
    <cellStyle name="Normal 2 107" xfId="1619"/>
    <cellStyle name="Normal 2 108" xfId="1620"/>
    <cellStyle name="Normal 2 109" xfId="1621"/>
    <cellStyle name="Normal 2 11" xfId="1622"/>
    <cellStyle name="Normal 2 110" xfId="1623"/>
    <cellStyle name="Normal 2 111" xfId="1624"/>
    <cellStyle name="Normal 2 112" xfId="1625"/>
    <cellStyle name="Normal 2 113" xfId="1626"/>
    <cellStyle name="Normal 2 114" xfId="1627"/>
    <cellStyle name="Normal 2 115" xfId="1628"/>
    <cellStyle name="Normal 2 116" xfId="1629"/>
    <cellStyle name="Normal 2 117" xfId="1630"/>
    <cellStyle name="Normal 2 118" xfId="1631"/>
    <cellStyle name="Normal 2 119" xfId="1632"/>
    <cellStyle name="Normal 2 12" xfId="1633"/>
    <cellStyle name="Normal 2 120" xfId="1634"/>
    <cellStyle name="Normal 2 121" xfId="1635"/>
    <cellStyle name="Normal 2 122" xfId="1636"/>
    <cellStyle name="Normal 2 123" xfId="1637"/>
    <cellStyle name="Normal 2 124" xfId="1638"/>
    <cellStyle name="Normal 2 125" xfId="1639"/>
    <cellStyle name="Normal 2 126" xfId="1640"/>
    <cellStyle name="Normal 2 127" xfId="1641"/>
    <cellStyle name="Normal 2 128" xfId="1642"/>
    <cellStyle name="Normal 2 129" xfId="1643"/>
    <cellStyle name="Normal 2 13" xfId="1644"/>
    <cellStyle name="Normal 2 130" xfId="1645"/>
    <cellStyle name="Normal 2 131" xfId="1646"/>
    <cellStyle name="Normal 2 132" xfId="1647"/>
    <cellStyle name="Normal 2 133" xfId="1648"/>
    <cellStyle name="Normal 2 134" xfId="1649"/>
    <cellStyle name="Normal 2 135" xfId="1650"/>
    <cellStyle name="Normal 2 136" xfId="1651"/>
    <cellStyle name="Normal 2 137" xfId="1652"/>
    <cellStyle name="Normal 2 138" xfId="1653"/>
    <cellStyle name="Normal 2 139" xfId="1654"/>
    <cellStyle name="Normal 2 14" xfId="1655"/>
    <cellStyle name="Normal 2 140" xfId="1656"/>
    <cellStyle name="Normal 2 141" xfId="1657"/>
    <cellStyle name="Normal 2 142" xfId="1658"/>
    <cellStyle name="Normal 2 143" xfId="1659"/>
    <cellStyle name="Normal 2 144" xfId="1660"/>
    <cellStyle name="Normal 2 145" xfId="1661"/>
    <cellStyle name="Normal 2 146" xfId="1662"/>
    <cellStyle name="Normal 2 147" xfId="1663"/>
    <cellStyle name="Normal 2 148" xfId="1664"/>
    <cellStyle name="Normal 2 149" xfId="1665"/>
    <cellStyle name="Normal 2 15" xfId="1666"/>
    <cellStyle name="Normal 2 150" xfId="1667"/>
    <cellStyle name="Normal 2 151" xfId="1668"/>
    <cellStyle name="Normal 2 152" xfId="1669"/>
    <cellStyle name="Normal 2 153" xfId="1670"/>
    <cellStyle name="Normal 2 154" xfId="1671"/>
    <cellStyle name="Normal 2 155" xfId="1672"/>
    <cellStyle name="Normal 2 156" xfId="1673"/>
    <cellStyle name="Normal 2 157" xfId="1674"/>
    <cellStyle name="Normal 2 158" xfId="1675"/>
    <cellStyle name="Normal 2 159" xfId="1676"/>
    <cellStyle name="Normal 2 16" xfId="1677"/>
    <cellStyle name="Normal 2 160" xfId="1678"/>
    <cellStyle name="Normal 2 161" xfId="1679"/>
    <cellStyle name="Normal 2 162" xfId="1680"/>
    <cellStyle name="Normal 2 163" xfId="1681"/>
    <cellStyle name="Normal 2 164" xfId="1682"/>
    <cellStyle name="Normal 2 165" xfId="1683"/>
    <cellStyle name="Normal 2 166" xfId="1684"/>
    <cellStyle name="Normal 2 167" xfId="1685"/>
    <cellStyle name="Normal 2 168" xfId="1686"/>
    <cellStyle name="Normal 2 169" xfId="1687"/>
    <cellStyle name="Normal 2 17" xfId="1688"/>
    <cellStyle name="Normal 2 170" xfId="1689"/>
    <cellStyle name="Normal 2 171" xfId="1690"/>
    <cellStyle name="Normal 2 172" xfId="1691"/>
    <cellStyle name="Normal 2 173" xfId="1692"/>
    <cellStyle name="Normal 2 174" xfId="1693"/>
    <cellStyle name="Normal 2 175" xfId="1694"/>
    <cellStyle name="Normal 2 176" xfId="1695"/>
    <cellStyle name="Normal 2 177" xfId="1696"/>
    <cellStyle name="Normal 2 178" xfId="1697"/>
    <cellStyle name="Normal 2 179" xfId="1698"/>
    <cellStyle name="Normal 2 18" xfId="1699"/>
    <cellStyle name="Normal 2 180" xfId="1700"/>
    <cellStyle name="Normal 2 181" xfId="1701"/>
    <cellStyle name="Normal 2 182" xfId="1702"/>
    <cellStyle name="Normal 2 183" xfId="1703"/>
    <cellStyle name="Normal 2 184" xfId="1704"/>
    <cellStyle name="Normal 2 185" xfId="1705"/>
    <cellStyle name="Normal 2 186" xfId="1706"/>
    <cellStyle name="Normal 2 187" xfId="1707"/>
    <cellStyle name="Normal 2 188" xfId="1708"/>
    <cellStyle name="Normal 2 189" xfId="1709"/>
    <cellStyle name="Normal 2 19" xfId="1710"/>
    <cellStyle name="Normal 2 190" xfId="1711"/>
    <cellStyle name="Normal 2 191" xfId="1712"/>
    <cellStyle name="Normal 2 192" xfId="1713"/>
    <cellStyle name="Normal 2 193" xfId="1714"/>
    <cellStyle name="Normal 2 194" xfId="1715"/>
    <cellStyle name="Normal 2 195" xfId="1716"/>
    <cellStyle name="Normal 2 196" xfId="1717"/>
    <cellStyle name="Normal 2 197" xfId="1718"/>
    <cellStyle name="Normal 2 198" xfId="1719"/>
    <cellStyle name="Normal 2 199" xfId="1720"/>
    <cellStyle name="Normal 2 2" xfId="1721"/>
    <cellStyle name="Normal 2 20" xfId="1722"/>
    <cellStyle name="Normal 2 200" xfId="1723"/>
    <cellStyle name="Normal 2 201" xfId="1724"/>
    <cellStyle name="Normal 2 202" xfId="1725"/>
    <cellStyle name="Normal 2 203" xfId="1726"/>
    <cellStyle name="Normal 2 204" xfId="1727"/>
    <cellStyle name="Normal 2 205" xfId="1728"/>
    <cellStyle name="Normal 2 206" xfId="1729"/>
    <cellStyle name="Normal 2 207" xfId="1730"/>
    <cellStyle name="Normal 2 208" xfId="1731"/>
    <cellStyle name="Normal 2 209" xfId="1732"/>
    <cellStyle name="Normal 2 21" xfId="1733"/>
    <cellStyle name="Normal 2 210" xfId="1734"/>
    <cellStyle name="Normal 2 211" xfId="1735"/>
    <cellStyle name="Normal 2 212" xfId="1736"/>
    <cellStyle name="Normal 2 213" xfId="1737"/>
    <cellStyle name="Normal 2 214" xfId="1738"/>
    <cellStyle name="Normal 2 215" xfId="1739"/>
    <cellStyle name="Normal 2 216" xfId="1740"/>
    <cellStyle name="Normal 2 217" xfId="1741"/>
    <cellStyle name="Normal 2 218" xfId="1742"/>
    <cellStyle name="Normal 2 219" xfId="1743"/>
    <cellStyle name="Normal 2 22" xfId="1744"/>
    <cellStyle name="Normal 2 220" xfId="1745"/>
    <cellStyle name="Normal 2 221" xfId="1746"/>
    <cellStyle name="Normal 2 222" xfId="1747"/>
    <cellStyle name="Normal 2 223" xfId="1748"/>
    <cellStyle name="Normal 2 224" xfId="1749"/>
    <cellStyle name="Normal 2 225" xfId="1750"/>
    <cellStyle name="Normal 2 226" xfId="1751"/>
    <cellStyle name="Normal 2 227" xfId="1752"/>
    <cellStyle name="Normal 2 228" xfId="1753"/>
    <cellStyle name="Normal 2 229" xfId="1754"/>
    <cellStyle name="Normal 2 23" xfId="1755"/>
    <cellStyle name="Normal 2 230" xfId="1756"/>
    <cellStyle name="Normal 2 231" xfId="1757"/>
    <cellStyle name="Normal 2 232" xfId="1758"/>
    <cellStyle name="Normal 2 233" xfId="1759"/>
    <cellStyle name="Normal 2 234" xfId="1760"/>
    <cellStyle name="Normal 2 235" xfId="1761"/>
    <cellStyle name="Normal 2 236" xfId="1762"/>
    <cellStyle name="Normal 2 237" xfId="1763"/>
    <cellStyle name="Normal 2 238" xfId="1764"/>
    <cellStyle name="Normal 2 239" xfId="1765"/>
    <cellStyle name="Normal 2 24" xfId="1766"/>
    <cellStyle name="Normal 2 240" xfId="1767"/>
    <cellStyle name="Normal 2 241" xfId="1768"/>
    <cellStyle name="Normal 2 242" xfId="1769"/>
    <cellStyle name="Normal 2 243" xfId="1770"/>
    <cellStyle name="Normal 2 244" xfId="1771"/>
    <cellStyle name="Normal 2 245" xfId="1772"/>
    <cellStyle name="Normal 2 246" xfId="1773"/>
    <cellStyle name="Normal 2 247" xfId="1774"/>
    <cellStyle name="Normal 2 248" xfId="1775"/>
    <cellStyle name="Normal 2 249" xfId="1776"/>
    <cellStyle name="Normal 2 25" xfId="1777"/>
    <cellStyle name="Normal 2 250" xfId="1778"/>
    <cellStyle name="Normal 2 251" xfId="1779"/>
    <cellStyle name="Normal 2 252" xfId="1780"/>
    <cellStyle name="Normal 2 253" xfId="1781"/>
    <cellStyle name="Normal 2 254" xfId="1782"/>
    <cellStyle name="Normal 2 255" xfId="1783"/>
    <cellStyle name="Normal 2 26" xfId="1784"/>
    <cellStyle name="Normal 2 27" xfId="1785"/>
    <cellStyle name="Normal 2 28" xfId="1786"/>
    <cellStyle name="Normal 2 29" xfId="1787"/>
    <cellStyle name="Normal 2 3" xfId="1788"/>
    <cellStyle name="Normal 2 30" xfId="1789"/>
    <cellStyle name="Normal 2 31" xfId="1790"/>
    <cellStyle name="Normal 2 32" xfId="1791"/>
    <cellStyle name="Normal 2 33" xfId="1792"/>
    <cellStyle name="Normal 2 34" xfId="1793"/>
    <cellStyle name="Normal 2 35" xfId="1794"/>
    <cellStyle name="Normal 2 36" xfId="1795"/>
    <cellStyle name="Normal 2 37" xfId="1796"/>
    <cellStyle name="Normal 2 38" xfId="1797"/>
    <cellStyle name="Normal 2 39" xfId="1798"/>
    <cellStyle name="Normal 2 4" xfId="1799"/>
    <cellStyle name="Normal 2 40" xfId="1800"/>
    <cellStyle name="Normal 2 41" xfId="1801"/>
    <cellStyle name="Normal 2 42" xfId="1802"/>
    <cellStyle name="Normal 2 43" xfId="1803"/>
    <cellStyle name="Normal 2 44" xfId="1804"/>
    <cellStyle name="Normal 2 45" xfId="1805"/>
    <cellStyle name="Normal 2 46" xfId="1806"/>
    <cellStyle name="Normal 2 47" xfId="1807"/>
    <cellStyle name="Normal 2 48" xfId="1808"/>
    <cellStyle name="Normal 2 49" xfId="1809"/>
    <cellStyle name="Normal 2 5" xfId="1810"/>
    <cellStyle name="Normal 2 50" xfId="1811"/>
    <cellStyle name="Normal 2 51" xfId="1812"/>
    <cellStyle name="Normal 2 52" xfId="1813"/>
    <cellStyle name="Normal 2 53" xfId="1814"/>
    <cellStyle name="Normal 2 54" xfId="1815"/>
    <cellStyle name="Normal 2 55" xfId="1816"/>
    <cellStyle name="Normal 2 56" xfId="1817"/>
    <cellStyle name="Normal 2 57" xfId="1818"/>
    <cellStyle name="Normal 2 58" xfId="1819"/>
    <cellStyle name="Normal 2 59" xfId="1820"/>
    <cellStyle name="Normal 2 6" xfId="1821"/>
    <cellStyle name="Normal 2 60" xfId="1822"/>
    <cellStyle name="Normal 2 61" xfId="1823"/>
    <cellStyle name="Normal 2 62" xfId="1824"/>
    <cellStyle name="Normal 2 63" xfId="1825"/>
    <cellStyle name="Normal 2 64" xfId="1826"/>
    <cellStyle name="Normal 2 65" xfId="1827"/>
    <cellStyle name="Normal 2 66" xfId="1828"/>
    <cellStyle name="Normal 2 67" xfId="1829"/>
    <cellStyle name="Normal 2 68" xfId="1830"/>
    <cellStyle name="Normal 2 69" xfId="1831"/>
    <cellStyle name="Normal 2 7" xfId="1832"/>
    <cellStyle name="Normal 2 70" xfId="1833"/>
    <cellStyle name="Normal 2 71" xfId="1834"/>
    <cellStyle name="Normal 2 72" xfId="1835"/>
    <cellStyle name="Normal 2 73" xfId="1836"/>
    <cellStyle name="Normal 2 74" xfId="1837"/>
    <cellStyle name="Normal 2 75" xfId="1838"/>
    <cellStyle name="Normal 2 76" xfId="1839"/>
    <cellStyle name="Normal 2 77" xfId="1840"/>
    <cellStyle name="Normal 2 78" xfId="1841"/>
    <cellStyle name="Normal 2 79" xfId="1842"/>
    <cellStyle name="Normal 2 8" xfId="1843"/>
    <cellStyle name="Normal 2 80" xfId="1844"/>
    <cellStyle name="Normal 2 81" xfId="1845"/>
    <cellStyle name="Normal 2 82" xfId="1846"/>
    <cellStyle name="Normal 2 83" xfId="1847"/>
    <cellStyle name="Normal 2 84" xfId="1848"/>
    <cellStyle name="Normal 2 85" xfId="1849"/>
    <cellStyle name="Normal 2 86" xfId="1850"/>
    <cellStyle name="Normal 2 87" xfId="1851"/>
    <cellStyle name="Normal 2 88" xfId="1852"/>
    <cellStyle name="Normal 2 89" xfId="1853"/>
    <cellStyle name="Normal 2 9" xfId="1854"/>
    <cellStyle name="Normal 2 90" xfId="1855"/>
    <cellStyle name="Normal 2 91" xfId="1856"/>
    <cellStyle name="Normal 2 92" xfId="1857"/>
    <cellStyle name="Normal 2 93" xfId="1858"/>
    <cellStyle name="Normal 2 94" xfId="1859"/>
    <cellStyle name="Normal 2 95" xfId="1860"/>
    <cellStyle name="Normal 2 96" xfId="1861"/>
    <cellStyle name="Normal 2 97" xfId="1862"/>
    <cellStyle name="Normal 2 98" xfId="1863"/>
    <cellStyle name="Normal 2 99" xfId="1864"/>
    <cellStyle name="Normal 3" xfId="1865"/>
    <cellStyle name="Normal 3 10" xfId="1866"/>
    <cellStyle name="Normal 3 100" xfId="1867"/>
    <cellStyle name="Normal 3 101" xfId="1868"/>
    <cellStyle name="Normal 3 102" xfId="1869"/>
    <cellStyle name="Normal 3 103" xfId="1870"/>
    <cellStyle name="Normal 3 104" xfId="1871"/>
    <cellStyle name="Normal 3 105" xfId="1872"/>
    <cellStyle name="Normal 3 106" xfId="1873"/>
    <cellStyle name="Normal 3 107" xfId="1874"/>
    <cellStyle name="Normal 3 108" xfId="1875"/>
    <cellStyle name="Normal 3 109" xfId="1876"/>
    <cellStyle name="Normal 3 11" xfId="1877"/>
    <cellStyle name="Normal 3 110" xfId="1878"/>
    <cellStyle name="Normal 3 111" xfId="1879"/>
    <cellStyle name="Normal 3 112" xfId="1880"/>
    <cellStyle name="Normal 3 113" xfId="1881"/>
    <cellStyle name="Normal 3 114" xfId="1882"/>
    <cellStyle name="Normal 3 115" xfId="1883"/>
    <cellStyle name="Normal 3 116" xfId="1884"/>
    <cellStyle name="Normal 3 117" xfId="1885"/>
    <cellStyle name="Normal 3 118" xfId="1886"/>
    <cellStyle name="Normal 3 119" xfId="1887"/>
    <cellStyle name="Normal 3 12" xfId="1888"/>
    <cellStyle name="Normal 3 120" xfId="1889"/>
    <cellStyle name="Normal 3 121" xfId="1890"/>
    <cellStyle name="Normal 3 122" xfId="1891"/>
    <cellStyle name="Normal 3 123" xfId="1892"/>
    <cellStyle name="Normal 3 124" xfId="1893"/>
    <cellStyle name="Normal 3 125" xfId="1894"/>
    <cellStyle name="Normal 3 126" xfId="1895"/>
    <cellStyle name="Normal 3 127" xfId="1896"/>
    <cellStyle name="Normal 3 128" xfId="1897"/>
    <cellStyle name="Normal 3 129" xfId="1898"/>
    <cellStyle name="Normal 3 13" xfId="1899"/>
    <cellStyle name="Normal 3 130" xfId="1900"/>
    <cellStyle name="Normal 3 131" xfId="1901"/>
    <cellStyle name="Normal 3 132" xfId="1902"/>
    <cellStyle name="Normal 3 133" xfId="1903"/>
    <cellStyle name="Normal 3 134" xfId="1904"/>
    <cellStyle name="Normal 3 135" xfId="1905"/>
    <cellStyle name="Normal 3 136" xfId="1906"/>
    <cellStyle name="Normal 3 137" xfId="1907"/>
    <cellStyle name="Normal 3 138" xfId="1908"/>
    <cellStyle name="Normal 3 139" xfId="1909"/>
    <cellStyle name="Normal 3 14" xfId="1910"/>
    <cellStyle name="Normal 3 140" xfId="1911"/>
    <cellStyle name="Normal 3 141" xfId="1912"/>
    <cellStyle name="Normal 3 142" xfId="1913"/>
    <cellStyle name="Normal 3 143" xfId="1914"/>
    <cellStyle name="Normal 3 144" xfId="1915"/>
    <cellStyle name="Normal 3 145" xfId="1916"/>
    <cellStyle name="Normal 3 146" xfId="1917"/>
    <cellStyle name="Normal 3 147" xfId="1918"/>
    <cellStyle name="Normal 3 148" xfId="1919"/>
    <cellStyle name="Normal 3 149" xfId="1920"/>
    <cellStyle name="Normal 3 15" xfId="1921"/>
    <cellStyle name="Normal 3 150" xfId="1922"/>
    <cellStyle name="Normal 3 151" xfId="1923"/>
    <cellStyle name="Normal 3 152" xfId="1924"/>
    <cellStyle name="Normal 3 153" xfId="1925"/>
    <cellStyle name="Normal 3 154" xfId="1926"/>
    <cellStyle name="Normal 3 155" xfId="1927"/>
    <cellStyle name="Normal 3 156" xfId="1928"/>
    <cellStyle name="Normal 3 157" xfId="1929"/>
    <cellStyle name="Normal 3 158" xfId="1930"/>
    <cellStyle name="Normal 3 159" xfId="1931"/>
    <cellStyle name="Normal 3 16" xfId="1932"/>
    <cellStyle name="Normal 3 160" xfId="1933"/>
    <cellStyle name="Normal 3 161" xfId="1934"/>
    <cellStyle name="Normal 3 162" xfId="1935"/>
    <cellStyle name="Normal 3 17" xfId="1936"/>
    <cellStyle name="Normal 3 18" xfId="1937"/>
    <cellStyle name="Normal 3 19" xfId="1938"/>
    <cellStyle name="Normal 3 2" xfId="1939"/>
    <cellStyle name="Normal 3 20" xfId="1940"/>
    <cellStyle name="Normal 3 21" xfId="1941"/>
    <cellStyle name="Normal 3 22" xfId="1942"/>
    <cellStyle name="Normal 3 23" xfId="1943"/>
    <cellStyle name="Normal 3 24" xfId="1944"/>
    <cellStyle name="Normal 3 25" xfId="1945"/>
    <cellStyle name="Normal 3 26" xfId="1946"/>
    <cellStyle name="Normal 3 27" xfId="1947"/>
    <cellStyle name="Normal 3 28" xfId="1948"/>
    <cellStyle name="Normal 3 29" xfId="1949"/>
    <cellStyle name="Normal 3 3" xfId="1950"/>
    <cellStyle name="Normal 3 30" xfId="1951"/>
    <cellStyle name="Normal 3 31" xfId="1952"/>
    <cellStyle name="Normal 3 32" xfId="1953"/>
    <cellStyle name="Normal 3 33" xfId="1954"/>
    <cellStyle name="Normal 3 34" xfId="1955"/>
    <cellStyle name="Normal 3 35" xfId="1956"/>
    <cellStyle name="Normal 3 36" xfId="1957"/>
    <cellStyle name="Normal 3 37" xfId="1958"/>
    <cellStyle name="Normal 3 38" xfId="1959"/>
    <cellStyle name="Normal 3 39" xfId="1960"/>
    <cellStyle name="Normal 3 4" xfId="1961"/>
    <cellStyle name="Normal 3 40" xfId="1962"/>
    <cellStyle name="Normal 3 41" xfId="1963"/>
    <cellStyle name="Normal 3 42" xfId="1964"/>
    <cellStyle name="Normal 3 43" xfId="1965"/>
    <cellStyle name="Normal 3 44" xfId="1966"/>
    <cellStyle name="Normal 3 45" xfId="1967"/>
    <cellStyle name="Normal 3 46" xfId="1968"/>
    <cellStyle name="Normal 3 47" xfId="1969"/>
    <cellStyle name="Normal 3 48" xfId="1970"/>
    <cellStyle name="Normal 3 49" xfId="1971"/>
    <cellStyle name="Normal 3 5" xfId="1972"/>
    <cellStyle name="Normal 3 50" xfId="1973"/>
    <cellStyle name="Normal 3 51" xfId="1974"/>
    <cellStyle name="Normal 3 52" xfId="1975"/>
    <cellStyle name="Normal 3 53" xfId="1976"/>
    <cellStyle name="Normal 3 54" xfId="1977"/>
    <cellStyle name="Normal 3 55" xfId="1978"/>
    <cellStyle name="Normal 3 56" xfId="1979"/>
    <cellStyle name="Normal 3 57" xfId="1980"/>
    <cellStyle name="Normal 3 58" xfId="1981"/>
    <cellStyle name="Normal 3 59" xfId="1982"/>
    <cellStyle name="Normal 3 6" xfId="1983"/>
    <cellStyle name="Normal 3 60" xfId="1984"/>
    <cellStyle name="Normal 3 61" xfId="1985"/>
    <cellStyle name="Normal 3 62" xfId="1986"/>
    <cellStyle name="Normal 3 63" xfId="1987"/>
    <cellStyle name="Normal 3 64" xfId="1988"/>
    <cellStyle name="Normal 3 65" xfId="1989"/>
    <cellStyle name="Normal 3 66" xfId="1990"/>
    <cellStyle name="Normal 3 67" xfId="1991"/>
    <cellStyle name="Normal 3 68" xfId="1992"/>
    <cellStyle name="Normal 3 69" xfId="1993"/>
    <cellStyle name="Normal 3 7" xfId="1994"/>
    <cellStyle name="Normal 3 70" xfId="1995"/>
    <cellStyle name="Normal 3 71" xfId="1996"/>
    <cellStyle name="Normal 3 72" xfId="1997"/>
    <cellStyle name="Normal 3 73" xfId="1998"/>
    <cellStyle name="Normal 3 74" xfId="1999"/>
    <cellStyle name="Normal 3 75" xfId="2000"/>
    <cellStyle name="Normal 3 76" xfId="2001"/>
    <cellStyle name="Normal 3 77" xfId="2002"/>
    <cellStyle name="Normal 3 78" xfId="2003"/>
    <cellStyle name="Normal 3 79" xfId="2004"/>
    <cellStyle name="Normal 3 8" xfId="2005"/>
    <cellStyle name="Normal 3 80" xfId="2006"/>
    <cellStyle name="Normal 3 81" xfId="2007"/>
    <cellStyle name="Normal 3 82" xfId="2008"/>
    <cellStyle name="Normal 3 83" xfId="2009"/>
    <cellStyle name="Normal 3 84" xfId="2010"/>
    <cellStyle name="Normal 3 85" xfId="2011"/>
    <cellStyle name="Normal 3 86" xfId="2012"/>
    <cellStyle name="Normal 3 87" xfId="2013"/>
    <cellStyle name="Normal 3 88" xfId="2014"/>
    <cellStyle name="Normal 3 89" xfId="2015"/>
    <cellStyle name="Normal 3 9" xfId="2016"/>
    <cellStyle name="Normal 3 90" xfId="2017"/>
    <cellStyle name="Normal 3 91" xfId="2018"/>
    <cellStyle name="Normal 3 92" xfId="2019"/>
    <cellStyle name="Normal 3 93" xfId="2020"/>
    <cellStyle name="Normal 3 94" xfId="2021"/>
    <cellStyle name="Normal 3 95" xfId="2022"/>
    <cellStyle name="Normal 3 96" xfId="2023"/>
    <cellStyle name="Normal 3 97" xfId="2024"/>
    <cellStyle name="Normal 3 98" xfId="2025"/>
    <cellStyle name="Normal 3 99" xfId="2026"/>
    <cellStyle name="Normal 41" xfId="2027"/>
    <cellStyle name="Normal 43" xfId="2028"/>
    <cellStyle name="Normal 46" xfId="2029"/>
    <cellStyle name="Normal 5" xfId="2030"/>
    <cellStyle name="Normal 7" xfId="2031"/>
    <cellStyle name="Normal 7 2" xfId="2032"/>
    <cellStyle name="Normal 9" xfId="2033"/>
  </cellStyles>
  <dxfs count="0"/>
  <tableStyles count="0" defaultTableStyle="TableStyleMedium9" defaultPivotStyle="PivotStyleLight16"/>
  <colors>
    <mruColors>
      <color rgb="FF3333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Fiber@Ho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GW537"/>
  <sheetViews>
    <sheetView topLeftCell="A31" zoomScaleSheetLayoutView="85" workbookViewId="0">
      <selection activeCell="I62" sqref="I62"/>
    </sheetView>
  </sheetViews>
  <sheetFormatPr defaultRowHeight="15"/>
  <cols>
    <col min="1" max="1" width="2.28515625" style="634" customWidth="1"/>
    <col min="2" max="2" width="21.85546875" style="634" customWidth="1"/>
    <col min="3" max="3" width="20.28515625" style="634" customWidth="1"/>
    <col min="4" max="4" width="1.85546875" style="634" customWidth="1"/>
    <col min="5" max="5" width="1.42578125" style="634" customWidth="1"/>
    <col min="6" max="6" width="2.28515625" style="634" customWidth="1"/>
    <col min="7" max="7" width="16.85546875" style="634" bestFit="1" customWidth="1"/>
    <col min="8" max="8" width="2.7109375" style="634" customWidth="1"/>
    <col min="9" max="9" width="16.85546875" style="634" customWidth="1"/>
    <col min="10" max="10" width="3.7109375" style="634" customWidth="1"/>
    <col min="11" max="16384" width="9.140625" style="634"/>
  </cols>
  <sheetData>
    <row r="1" spans="1:10" ht="15.75">
      <c r="A1" s="774" t="s">
        <v>0</v>
      </c>
      <c r="B1" s="774"/>
      <c r="C1" s="774"/>
      <c r="D1" s="774"/>
      <c r="E1" s="774"/>
      <c r="F1" s="774"/>
      <c r="G1" s="774"/>
      <c r="H1" s="774"/>
      <c r="I1" s="774"/>
      <c r="J1" s="774"/>
    </row>
    <row r="2" spans="1:10">
      <c r="A2" s="775" t="s">
        <v>1297</v>
      </c>
      <c r="B2" s="775"/>
      <c r="C2" s="775"/>
      <c r="D2" s="775"/>
      <c r="E2" s="775"/>
      <c r="F2" s="775"/>
      <c r="G2" s="775"/>
      <c r="H2" s="775"/>
      <c r="I2" s="775"/>
      <c r="J2" s="775"/>
    </row>
    <row r="3" spans="1:10">
      <c r="A3" s="776" t="s">
        <v>1275</v>
      </c>
      <c r="B3" s="776"/>
      <c r="C3" s="776"/>
      <c r="D3" s="776"/>
      <c r="E3" s="776"/>
      <c r="F3" s="776"/>
      <c r="G3" s="776"/>
      <c r="H3" s="776"/>
      <c r="I3" s="776"/>
      <c r="J3" s="776"/>
    </row>
    <row r="4" spans="1:10" ht="12" customHeight="1">
      <c r="A4" s="633"/>
      <c r="B4" s="633"/>
      <c r="C4" s="633"/>
      <c r="D4" s="633"/>
      <c r="E4" s="633"/>
      <c r="F4" s="633"/>
      <c r="G4" s="633"/>
      <c r="H4" s="633"/>
      <c r="I4" s="633"/>
      <c r="J4" s="633"/>
    </row>
    <row r="5" spans="1:10">
      <c r="A5" s="633"/>
      <c r="B5" s="633"/>
      <c r="C5" s="633"/>
      <c r="D5" s="633"/>
      <c r="E5" s="778"/>
      <c r="F5" s="637"/>
      <c r="G5" s="638" t="s">
        <v>138</v>
      </c>
      <c r="H5" s="639"/>
      <c r="I5" s="779" t="s">
        <v>138</v>
      </c>
      <c r="J5" s="780"/>
    </row>
    <row r="6" spans="1:10">
      <c r="A6" s="641" t="s">
        <v>757</v>
      </c>
      <c r="C6" s="642"/>
      <c r="D6" s="635"/>
      <c r="E6" s="778"/>
      <c r="F6" s="637"/>
      <c r="G6" s="643" t="s">
        <v>1296</v>
      </c>
      <c r="H6" s="644"/>
      <c r="I6" s="643" t="s">
        <v>1081</v>
      </c>
      <c r="J6" s="644"/>
    </row>
    <row r="7" spans="1:10" ht="5.25" customHeight="1">
      <c r="A7" s="646"/>
      <c r="B7" s="642"/>
      <c r="C7" s="642"/>
      <c r="D7" s="635"/>
      <c r="E7" s="635"/>
      <c r="F7" s="635"/>
      <c r="G7" s="635"/>
      <c r="H7" s="635"/>
      <c r="I7" s="635"/>
      <c r="J7" s="635"/>
    </row>
    <row r="8" spans="1:10">
      <c r="A8" s="641" t="s">
        <v>1288</v>
      </c>
      <c r="B8" s="642"/>
      <c r="C8" s="642"/>
      <c r="D8" s="635"/>
      <c r="E8" s="635"/>
      <c r="F8" s="635"/>
      <c r="G8" s="635"/>
      <c r="H8" s="635"/>
      <c r="I8" s="635"/>
      <c r="J8" s="635"/>
    </row>
    <row r="9" spans="1:10" ht="4.5" customHeight="1">
      <c r="A9" s="646"/>
      <c r="B9" s="642"/>
      <c r="C9" s="642"/>
      <c r="D9" s="635"/>
      <c r="E9" s="635"/>
      <c r="F9" s="635"/>
      <c r="G9" s="635"/>
      <c r="H9" s="635"/>
      <c r="I9" s="635"/>
      <c r="J9" s="635"/>
    </row>
    <row r="10" spans="1:10">
      <c r="A10" s="646" t="s">
        <v>9</v>
      </c>
      <c r="C10" s="642"/>
      <c r="D10" s="635"/>
      <c r="E10" s="647"/>
      <c r="F10" s="647"/>
      <c r="G10" s="648">
        <v>6762863582.2769718</v>
      </c>
      <c r="H10" s="649"/>
      <c r="I10" s="648">
        <v>6864883830.3899765</v>
      </c>
      <c r="J10" s="647"/>
    </row>
    <row r="11" spans="1:10" ht="7.5" customHeight="1">
      <c r="A11" s="642"/>
      <c r="C11" s="642"/>
      <c r="D11" s="650"/>
      <c r="E11" s="647"/>
      <c r="F11" s="647"/>
      <c r="G11" s="651"/>
      <c r="H11" s="647"/>
      <c r="I11" s="651"/>
      <c r="J11" s="647"/>
    </row>
    <row r="12" spans="1:10">
      <c r="A12" s="652" t="s">
        <v>730</v>
      </c>
      <c r="C12" s="642"/>
      <c r="D12" s="635"/>
      <c r="E12" s="647"/>
      <c r="F12" s="647"/>
      <c r="G12" s="653">
        <v>4700392468.0882988</v>
      </c>
      <c r="H12" s="647"/>
      <c r="I12" s="653">
        <v>4547382812.1043749</v>
      </c>
      <c r="J12" s="647"/>
    </row>
    <row r="13" spans="1:10" ht="14.45" customHeight="1">
      <c r="A13" s="646" t="s">
        <v>564</v>
      </c>
      <c r="C13" s="646"/>
      <c r="D13" s="635"/>
      <c r="E13" s="647"/>
      <c r="F13" s="647"/>
      <c r="G13" s="654">
        <v>1987508797.5082996</v>
      </c>
      <c r="H13" s="647"/>
      <c r="I13" s="654">
        <v>2040255701.1043746</v>
      </c>
      <c r="J13" s="647"/>
    </row>
    <row r="14" spans="1:10" ht="14.45" customHeight="1">
      <c r="A14" s="646" t="s">
        <v>625</v>
      </c>
      <c r="C14" s="646"/>
      <c r="D14" s="635"/>
      <c r="E14" s="647"/>
      <c r="F14" s="647"/>
      <c r="G14" s="656">
        <v>36450126</v>
      </c>
      <c r="H14" s="647"/>
      <c r="I14" s="656">
        <v>36803454</v>
      </c>
      <c r="J14" s="647"/>
    </row>
    <row r="15" spans="1:10" ht="14.45" customHeight="1">
      <c r="A15" s="646" t="s">
        <v>543</v>
      </c>
      <c r="C15" s="646"/>
      <c r="D15" s="635"/>
      <c r="E15" s="647"/>
      <c r="F15" s="647"/>
      <c r="G15" s="656">
        <v>445978144.88000005</v>
      </c>
      <c r="H15" s="647"/>
      <c r="I15" s="656">
        <v>412835550.97000003</v>
      </c>
      <c r="J15" s="647"/>
    </row>
    <row r="16" spans="1:10" ht="14.45" customHeight="1">
      <c r="A16" s="646" t="s">
        <v>11</v>
      </c>
      <c r="C16" s="646"/>
      <c r="D16" s="635"/>
      <c r="E16" s="647"/>
      <c r="F16" s="658"/>
      <c r="G16" s="656">
        <v>30630323.200000003</v>
      </c>
      <c r="H16" s="658"/>
      <c r="I16" s="656">
        <v>34348102.399999999</v>
      </c>
      <c r="J16" s="658"/>
    </row>
    <row r="17" spans="1:10" ht="13.5" customHeight="1">
      <c r="A17" s="646" t="s">
        <v>12</v>
      </c>
      <c r="C17" s="635"/>
      <c r="D17" s="635"/>
      <c r="E17" s="647"/>
      <c r="F17" s="658"/>
      <c r="G17" s="659">
        <v>2199825076.5</v>
      </c>
      <c r="H17" s="658"/>
      <c r="I17" s="659">
        <v>2023140003.6300001</v>
      </c>
      <c r="J17" s="658"/>
    </row>
    <row r="18" spans="1:10" ht="6" customHeight="1">
      <c r="A18" s="646"/>
      <c r="C18" s="646"/>
      <c r="D18" s="635"/>
      <c r="E18" s="658"/>
      <c r="F18" s="658"/>
      <c r="G18" s="660"/>
      <c r="H18" s="658"/>
      <c r="I18" s="660"/>
      <c r="J18" s="658"/>
    </row>
    <row r="19" spans="1:10" ht="4.9000000000000004" customHeight="1">
      <c r="A19" s="642"/>
      <c r="C19" s="642"/>
      <c r="D19" s="635"/>
      <c r="E19" s="640"/>
      <c r="F19" s="640"/>
      <c r="G19" s="661"/>
      <c r="H19" s="640"/>
      <c r="I19" s="661"/>
      <c r="J19" s="640"/>
    </row>
    <row r="20" spans="1:10" ht="15.75" thickBot="1">
      <c r="A20" s="652" t="s">
        <v>729</v>
      </c>
      <c r="C20" s="642"/>
      <c r="D20" s="635"/>
      <c r="E20" s="662"/>
      <c r="F20" s="662"/>
      <c r="G20" s="663">
        <v>11463256050.365271</v>
      </c>
      <c r="H20" s="664"/>
      <c r="I20" s="663">
        <v>11412266642.49435</v>
      </c>
      <c r="J20" s="662"/>
    </row>
    <row r="21" spans="1:10" ht="4.9000000000000004" customHeight="1" thickTop="1">
      <c r="A21" s="642"/>
      <c r="C21" s="642"/>
      <c r="D21" s="635"/>
      <c r="E21" s="662"/>
      <c r="F21" s="662"/>
      <c r="G21" s="655"/>
      <c r="H21" s="662"/>
      <c r="I21" s="655"/>
      <c r="J21" s="662"/>
    </row>
    <row r="22" spans="1:10">
      <c r="A22" s="666" t="s">
        <v>761</v>
      </c>
      <c r="C22" s="642"/>
      <c r="D22" s="635"/>
      <c r="E22" s="662"/>
      <c r="F22" s="662"/>
      <c r="G22" s="655"/>
      <c r="H22" s="662"/>
      <c r="I22" s="655"/>
      <c r="J22" s="662"/>
    </row>
    <row r="23" spans="1:10" ht="4.9000000000000004" customHeight="1">
      <c r="C23" s="642"/>
      <c r="D23" s="635"/>
      <c r="E23" s="662"/>
      <c r="F23" s="662"/>
      <c r="G23" s="655"/>
      <c r="H23" s="662"/>
      <c r="I23" s="655"/>
      <c r="J23" s="662"/>
    </row>
    <row r="24" spans="1:10">
      <c r="A24" s="652" t="s">
        <v>759</v>
      </c>
      <c r="C24" s="642"/>
      <c r="D24" s="635"/>
      <c r="E24" s="662"/>
      <c r="F24" s="662"/>
      <c r="G24" s="667">
        <v>6559428474.2416477</v>
      </c>
      <c r="H24" s="664"/>
      <c r="I24" s="667">
        <v>6387676846.25</v>
      </c>
      <c r="J24" s="662"/>
    </row>
    <row r="25" spans="1:10" ht="14.45" customHeight="1">
      <c r="A25" s="646" t="s">
        <v>2</v>
      </c>
      <c r="C25" s="646"/>
      <c r="D25" s="635"/>
      <c r="E25" s="647"/>
      <c r="F25" s="647"/>
      <c r="G25" s="654">
        <v>1649055100.45</v>
      </c>
      <c r="H25" s="647"/>
      <c r="I25" s="654">
        <v>1649055100</v>
      </c>
      <c r="J25" s="647"/>
    </row>
    <row r="26" spans="1:10">
      <c r="A26" s="634" t="s">
        <v>786</v>
      </c>
      <c r="C26" s="646"/>
      <c r="D26" s="635"/>
      <c r="E26" s="647"/>
      <c r="F26" s="647"/>
      <c r="G26" s="656">
        <v>1660000000.45</v>
      </c>
      <c r="H26" s="647"/>
      <c r="I26" s="656">
        <v>1660000000</v>
      </c>
      <c r="J26" s="647"/>
    </row>
    <row r="27" spans="1:10">
      <c r="A27" s="642" t="s">
        <v>27</v>
      </c>
      <c r="C27" s="642"/>
      <c r="D27" s="635"/>
      <c r="E27" s="647"/>
      <c r="F27" s="647"/>
      <c r="G27" s="656">
        <v>723293759.45000005</v>
      </c>
      <c r="H27" s="647"/>
      <c r="I27" s="656">
        <v>723293759</v>
      </c>
      <c r="J27" s="647"/>
    </row>
    <row r="28" spans="1:10" ht="14.45" customHeight="1">
      <c r="A28" s="646" t="s">
        <v>3</v>
      </c>
      <c r="C28" s="646"/>
      <c r="D28" s="635"/>
      <c r="E28" s="647"/>
      <c r="F28" s="647"/>
      <c r="G28" s="656">
        <v>718444702.65963173</v>
      </c>
      <c r="H28" s="647"/>
      <c r="I28" s="656">
        <v>714543555</v>
      </c>
      <c r="J28" s="647"/>
    </row>
    <row r="29" spans="1:10" ht="14.45" customHeight="1">
      <c r="A29" s="646" t="s">
        <v>4</v>
      </c>
      <c r="C29" s="646"/>
      <c r="D29" s="635"/>
      <c r="E29" s="647"/>
      <c r="F29" s="647"/>
      <c r="G29" s="656">
        <v>336165684.44999999</v>
      </c>
      <c r="H29" s="647"/>
      <c r="I29" s="656">
        <v>336165684</v>
      </c>
      <c r="J29" s="647"/>
    </row>
    <row r="30" spans="1:10" ht="14.45" customHeight="1">
      <c r="A30" s="646" t="s">
        <v>5</v>
      </c>
      <c r="C30" s="646"/>
      <c r="D30" s="635"/>
      <c r="E30" s="647"/>
      <c r="F30" s="647"/>
      <c r="G30" s="659">
        <v>1472469226.7820156</v>
      </c>
      <c r="H30" s="647"/>
      <c r="I30" s="659">
        <v>1304618748.25</v>
      </c>
      <c r="J30" s="647"/>
    </row>
    <row r="31" spans="1:10" ht="4.9000000000000004" customHeight="1">
      <c r="A31" s="642"/>
      <c r="C31" s="642"/>
      <c r="D31" s="635"/>
      <c r="E31" s="662"/>
      <c r="F31" s="662"/>
      <c r="G31" s="661"/>
      <c r="H31" s="662"/>
      <c r="I31" s="661"/>
      <c r="J31" s="662"/>
    </row>
    <row r="32" spans="1:10">
      <c r="A32" s="652" t="s">
        <v>731</v>
      </c>
      <c r="C32" s="642"/>
      <c r="D32" s="635"/>
      <c r="E32" s="662"/>
      <c r="F32" s="662"/>
      <c r="G32" s="668">
        <v>3299329710.9221344</v>
      </c>
      <c r="H32" s="664"/>
      <c r="I32" s="668">
        <v>3277277071.3099999</v>
      </c>
      <c r="J32" s="662"/>
    </row>
    <row r="33" spans="1:10">
      <c r="A33" s="642" t="s">
        <v>7</v>
      </c>
      <c r="C33" s="642"/>
      <c r="D33" s="635"/>
      <c r="E33" s="647"/>
      <c r="F33" s="647"/>
      <c r="G33" s="669">
        <v>488191972.40213448</v>
      </c>
      <c r="H33" s="647"/>
      <c r="I33" s="669">
        <v>476165248.82999998</v>
      </c>
      <c r="J33" s="647"/>
    </row>
    <row r="34" spans="1:10">
      <c r="A34" s="642" t="s">
        <v>8</v>
      </c>
      <c r="C34" s="642"/>
      <c r="D34" s="635"/>
      <c r="E34" s="647"/>
      <c r="F34" s="647"/>
      <c r="G34" s="670">
        <v>225051416.94999999</v>
      </c>
      <c r="H34" s="647"/>
      <c r="I34" s="670">
        <v>220378429.75</v>
      </c>
      <c r="J34" s="647"/>
    </row>
    <row r="35" spans="1:10" ht="14.45" customHeight="1">
      <c r="A35" s="671" t="s">
        <v>707</v>
      </c>
      <c r="C35" s="642"/>
      <c r="D35" s="635"/>
      <c r="E35" s="647"/>
      <c r="F35" s="647"/>
      <c r="G35" s="670">
        <v>26203410.109999999</v>
      </c>
      <c r="H35" s="647"/>
      <c r="I35" s="670">
        <v>20850481.520000003</v>
      </c>
      <c r="J35" s="647"/>
    </row>
    <row r="36" spans="1:10">
      <c r="A36" s="671" t="s">
        <v>921</v>
      </c>
      <c r="E36" s="647"/>
      <c r="F36" s="647"/>
      <c r="G36" s="672">
        <v>2559882911.46</v>
      </c>
      <c r="H36" s="647"/>
      <c r="I36" s="672">
        <v>2559882911.21</v>
      </c>
      <c r="J36" s="647"/>
    </row>
    <row r="37" spans="1:10" ht="6" customHeight="1">
      <c r="C37" s="642"/>
      <c r="D37" s="635"/>
      <c r="E37" s="662"/>
      <c r="F37" s="662"/>
      <c r="G37" s="661"/>
      <c r="H37" s="662"/>
      <c r="I37" s="661"/>
      <c r="J37" s="662"/>
    </row>
    <row r="38" spans="1:10" ht="14.85" customHeight="1">
      <c r="A38" s="652" t="s">
        <v>732</v>
      </c>
      <c r="C38" s="642"/>
      <c r="D38" s="635"/>
      <c r="E38" s="662"/>
      <c r="F38" s="662"/>
      <c r="G38" s="673">
        <v>1604497864.9397438</v>
      </c>
      <c r="H38" s="664"/>
      <c r="I38" s="673">
        <v>1747312723.8564591</v>
      </c>
      <c r="J38" s="662"/>
    </row>
    <row r="39" spans="1:10" ht="14.45" customHeight="1">
      <c r="A39" s="646" t="s">
        <v>922</v>
      </c>
      <c r="C39" s="646"/>
      <c r="D39" s="635"/>
      <c r="E39" s="647"/>
      <c r="F39" s="647"/>
      <c r="G39" s="654">
        <v>252503531</v>
      </c>
      <c r="H39" s="647"/>
      <c r="I39" s="654">
        <v>331816695</v>
      </c>
      <c r="J39" s="647"/>
    </row>
    <row r="40" spans="1:10" ht="14.45" customHeight="1">
      <c r="A40" s="646" t="s">
        <v>28</v>
      </c>
      <c r="C40" s="646"/>
      <c r="D40" s="635"/>
      <c r="E40" s="647"/>
      <c r="F40" s="647"/>
      <c r="G40" s="656">
        <v>188788543.33000001</v>
      </c>
      <c r="H40" s="647"/>
      <c r="I40" s="656">
        <v>213923193.97</v>
      </c>
      <c r="J40" s="647"/>
    </row>
    <row r="41" spans="1:10" ht="14.45" customHeight="1">
      <c r="A41" s="646" t="s">
        <v>13</v>
      </c>
      <c r="C41" s="646"/>
      <c r="D41" s="635"/>
      <c r="E41" s="647"/>
      <c r="F41" s="647"/>
      <c r="G41" s="674">
        <v>432670602.02131188</v>
      </c>
      <c r="H41" s="647"/>
      <c r="I41" s="674">
        <v>393874301.16645938</v>
      </c>
      <c r="J41" s="647"/>
    </row>
    <row r="42" spans="1:10" ht="14.45" customHeight="1">
      <c r="A42" s="646" t="s">
        <v>678</v>
      </c>
      <c r="C42" s="646"/>
      <c r="D42" s="635"/>
      <c r="E42" s="647"/>
      <c r="F42" s="647"/>
      <c r="G42" s="674">
        <v>50076845.678431705</v>
      </c>
      <c r="H42" s="647"/>
      <c r="I42" s="674">
        <v>38948113</v>
      </c>
      <c r="J42" s="647"/>
    </row>
    <row r="43" spans="1:10" ht="14.45" customHeight="1">
      <c r="A43" s="646" t="s">
        <v>14</v>
      </c>
      <c r="C43" s="646"/>
      <c r="D43" s="635"/>
      <c r="E43" s="647"/>
      <c r="F43" s="647"/>
      <c r="G43" s="675">
        <v>501245325.46000004</v>
      </c>
      <c r="H43" s="647"/>
      <c r="I43" s="675">
        <v>543778931.71999991</v>
      </c>
      <c r="J43" s="647"/>
    </row>
    <row r="44" spans="1:10">
      <c r="A44" s="646" t="s">
        <v>685</v>
      </c>
      <c r="C44" s="646"/>
      <c r="E44" s="647"/>
      <c r="F44" s="647"/>
      <c r="G44" s="676">
        <v>179213017.44999999</v>
      </c>
      <c r="H44" s="647"/>
      <c r="I44" s="676">
        <v>224971489</v>
      </c>
      <c r="J44" s="647"/>
    </row>
    <row r="45" spans="1:10" ht="5.25" customHeight="1">
      <c r="B45" s="642"/>
      <c r="C45" s="642"/>
      <c r="D45" s="677"/>
      <c r="E45" s="647"/>
      <c r="F45" s="647"/>
      <c r="G45" s="650"/>
      <c r="H45" s="647"/>
      <c r="I45" s="650"/>
      <c r="J45" s="647"/>
    </row>
    <row r="46" spans="1:10" ht="15.75" customHeight="1">
      <c r="A46" s="641" t="s">
        <v>688</v>
      </c>
      <c r="B46" s="642"/>
      <c r="C46" s="642"/>
      <c r="D46" s="677"/>
      <c r="E46" s="635"/>
      <c r="F46" s="635"/>
      <c r="G46" s="678">
        <v>4903827576.1618786</v>
      </c>
      <c r="H46" s="679"/>
      <c r="I46" s="678">
        <v>5024589795.1664591</v>
      </c>
      <c r="J46" s="635"/>
    </row>
    <row r="47" spans="1:10" ht="2.25" customHeight="1">
      <c r="A47" s="646"/>
      <c r="B47" s="642"/>
      <c r="C47" s="642"/>
      <c r="D47" s="677"/>
      <c r="E47" s="635"/>
      <c r="F47" s="635"/>
      <c r="G47" s="665"/>
      <c r="H47" s="635"/>
      <c r="I47" s="665"/>
      <c r="J47" s="635"/>
    </row>
    <row r="48" spans="1:10" ht="15.75" thickBot="1">
      <c r="A48" s="641" t="s">
        <v>758</v>
      </c>
      <c r="B48" s="642"/>
      <c r="C48" s="642"/>
      <c r="D48" s="635"/>
      <c r="E48" s="635"/>
      <c r="F48" s="635"/>
      <c r="G48" s="680">
        <v>11463256050.453526</v>
      </c>
      <c r="H48" s="635"/>
      <c r="I48" s="680">
        <v>11412266641.666458</v>
      </c>
      <c r="J48" s="635"/>
    </row>
    <row r="49" spans="1:205" ht="5.25" customHeight="1" thickTop="1"/>
    <row r="50" spans="1:205" hidden="1">
      <c r="A50" s="634" t="s">
        <v>651</v>
      </c>
      <c r="E50" s="681"/>
      <c r="F50" s="681"/>
      <c r="H50" s="681"/>
      <c r="J50" s="681"/>
    </row>
    <row r="51" spans="1:205" ht="16.5" hidden="1" customHeight="1"/>
    <row r="52" spans="1:205" ht="16.5" customHeight="1" thickBot="1">
      <c r="A52" s="682" t="s">
        <v>768</v>
      </c>
      <c r="E52" s="636"/>
      <c r="G52" s="683">
        <v>39.776890864370706</v>
      </c>
      <c r="I52" s="683">
        <v>38.735375473471748</v>
      </c>
    </row>
    <row r="53" spans="1:205" ht="15.75" thickTop="1"/>
    <row r="54" spans="1:205">
      <c r="A54" s="781"/>
      <c r="B54" s="781"/>
      <c r="C54" s="781"/>
      <c r="D54" s="781"/>
      <c r="E54" s="781"/>
      <c r="F54" s="781"/>
      <c r="G54" s="781"/>
      <c r="H54" s="781"/>
      <c r="I54" s="781"/>
      <c r="J54" s="781"/>
    </row>
    <row r="55" spans="1:205" ht="6" customHeight="1">
      <c r="A55" s="684"/>
      <c r="B55" s="636"/>
      <c r="C55" s="636"/>
      <c r="D55" s="636"/>
      <c r="E55" s="636"/>
    </row>
    <row r="56" spans="1:205">
      <c r="A56" s="684"/>
      <c r="B56" s="636"/>
      <c r="C56" s="636"/>
      <c r="D56" s="636"/>
      <c r="E56" s="636"/>
      <c r="F56" s="636"/>
      <c r="G56" s="636"/>
      <c r="H56" s="636"/>
      <c r="I56" s="636"/>
      <c r="J56" s="636"/>
    </row>
    <row r="57" spans="1:205">
      <c r="A57" s="684"/>
      <c r="B57" s="636"/>
      <c r="C57" s="636"/>
      <c r="D57" s="636"/>
      <c r="E57" s="636"/>
      <c r="F57" s="636"/>
      <c r="H57" s="636"/>
    </row>
    <row r="58" spans="1:205">
      <c r="B58" s="636"/>
      <c r="C58" s="636"/>
      <c r="D58" s="636"/>
      <c r="E58" s="636"/>
      <c r="F58" s="636"/>
      <c r="G58" s="636"/>
      <c r="H58" s="636"/>
      <c r="I58" s="636"/>
      <c r="J58" s="636"/>
    </row>
    <row r="59" spans="1:205" s="640" customFormat="1" ht="16.5">
      <c r="A59" s="839" t="s">
        <v>1311</v>
      </c>
      <c r="B59" s="839"/>
      <c r="C59" s="839"/>
      <c r="D59" s="839"/>
      <c r="E59" s="839"/>
      <c r="F59" s="839"/>
      <c r="G59" s="839"/>
      <c r="H59" s="839"/>
      <c r="I59" s="839"/>
      <c r="J59" s="685"/>
    </row>
    <row r="60" spans="1:205" s="640" customFormat="1" ht="15.75" customHeight="1">
      <c r="A60" s="689" t="s">
        <v>1310</v>
      </c>
      <c r="B60" s="689"/>
      <c r="C60" s="689"/>
      <c r="D60" s="689"/>
      <c r="E60" s="689"/>
      <c r="F60" s="689"/>
      <c r="G60" s="689"/>
      <c r="H60" s="689"/>
      <c r="I60" s="689"/>
      <c r="J60" s="689"/>
      <c r="K60" s="685"/>
      <c r="L60" s="685"/>
      <c r="M60" s="685"/>
      <c r="N60" s="685"/>
      <c r="O60" s="685"/>
      <c r="P60" s="685"/>
      <c r="Q60" s="685"/>
      <c r="R60" s="685"/>
      <c r="S60" s="685"/>
      <c r="T60" s="685"/>
      <c r="U60" s="685"/>
      <c r="V60" s="685"/>
      <c r="W60" s="685"/>
      <c r="X60" s="685"/>
      <c r="Y60" s="685"/>
      <c r="Z60" s="685"/>
      <c r="AA60" s="685"/>
      <c r="AB60" s="685"/>
      <c r="AC60" s="685"/>
      <c r="AD60" s="685"/>
      <c r="AE60" s="685"/>
      <c r="AF60" s="685"/>
      <c r="AG60" s="685"/>
      <c r="AH60" s="685"/>
      <c r="AI60" s="685"/>
      <c r="AJ60" s="685"/>
      <c r="AK60" s="685"/>
      <c r="AL60" s="685"/>
      <c r="AM60" s="685"/>
      <c r="AN60" s="685"/>
      <c r="AO60" s="685"/>
      <c r="AP60" s="685"/>
      <c r="AQ60" s="685"/>
      <c r="AR60" s="685"/>
      <c r="AS60" s="685"/>
      <c r="AT60" s="685"/>
      <c r="AU60" s="685"/>
      <c r="AV60" s="685"/>
      <c r="AW60" s="685"/>
      <c r="AX60" s="685"/>
      <c r="AY60" s="685"/>
      <c r="AZ60" s="685"/>
      <c r="BA60" s="685"/>
      <c r="BB60" s="685"/>
      <c r="BC60" s="685"/>
      <c r="BD60" s="685"/>
      <c r="BE60" s="685"/>
      <c r="BF60" s="685"/>
      <c r="BG60" s="685"/>
      <c r="BH60" s="685"/>
      <c r="BI60" s="685"/>
      <c r="BJ60" s="685"/>
      <c r="BK60" s="685"/>
      <c r="BL60" s="685"/>
      <c r="BM60" s="685"/>
      <c r="BN60" s="685"/>
      <c r="BO60" s="685"/>
      <c r="BP60" s="685"/>
      <c r="BQ60" s="685"/>
      <c r="BR60" s="685"/>
      <c r="BS60" s="685"/>
      <c r="BT60" s="685"/>
      <c r="BU60" s="685"/>
      <c r="BV60" s="685"/>
      <c r="BW60" s="685"/>
      <c r="BX60" s="685"/>
      <c r="BY60" s="685"/>
      <c r="BZ60" s="685"/>
      <c r="CA60" s="685"/>
      <c r="CB60" s="685"/>
      <c r="CC60" s="685"/>
      <c r="CD60" s="685"/>
      <c r="CE60" s="685"/>
      <c r="CF60" s="685"/>
      <c r="CG60" s="685"/>
      <c r="CH60" s="685"/>
      <c r="CI60" s="685"/>
      <c r="CJ60" s="685"/>
      <c r="CK60" s="685"/>
      <c r="CL60" s="685"/>
      <c r="CM60" s="685"/>
      <c r="CN60" s="685"/>
      <c r="CO60" s="685"/>
      <c r="CP60" s="685"/>
      <c r="CQ60" s="685"/>
      <c r="CR60" s="685"/>
      <c r="CS60" s="685"/>
      <c r="CT60" s="685"/>
      <c r="CU60" s="685"/>
      <c r="CV60" s="685"/>
      <c r="CW60" s="685"/>
      <c r="CX60" s="685"/>
      <c r="CY60" s="685"/>
      <c r="CZ60" s="685"/>
      <c r="DA60" s="685"/>
      <c r="DB60" s="685"/>
      <c r="DC60" s="685"/>
      <c r="DD60" s="685"/>
      <c r="DE60" s="685"/>
      <c r="DF60" s="685"/>
      <c r="DG60" s="685"/>
      <c r="DH60" s="685"/>
      <c r="DI60" s="685"/>
      <c r="DJ60" s="685"/>
      <c r="DK60" s="685"/>
      <c r="DL60" s="685"/>
      <c r="DM60" s="685"/>
      <c r="DN60" s="685"/>
      <c r="DO60" s="685"/>
      <c r="DP60" s="685"/>
      <c r="DQ60" s="685"/>
      <c r="DR60" s="685"/>
      <c r="DS60" s="685"/>
      <c r="DT60" s="685"/>
      <c r="DU60" s="685"/>
      <c r="DV60" s="685"/>
      <c r="DW60" s="685"/>
      <c r="DX60" s="685"/>
      <c r="DY60" s="685"/>
      <c r="DZ60" s="685"/>
      <c r="EA60" s="685"/>
      <c r="EB60" s="685"/>
      <c r="EC60" s="685"/>
      <c r="ED60" s="685"/>
      <c r="EE60" s="685"/>
      <c r="EF60" s="685"/>
      <c r="EG60" s="685"/>
      <c r="EH60" s="685"/>
      <c r="EI60" s="685"/>
      <c r="EJ60" s="685"/>
      <c r="EK60" s="685"/>
      <c r="EL60" s="685"/>
      <c r="EM60" s="685"/>
      <c r="EN60" s="685"/>
      <c r="EO60" s="685"/>
      <c r="EP60" s="685"/>
      <c r="EQ60" s="685"/>
      <c r="ER60" s="685"/>
      <c r="ES60" s="685"/>
      <c r="ET60" s="685"/>
      <c r="EU60" s="685"/>
      <c r="EV60" s="685"/>
      <c r="EW60" s="685"/>
      <c r="EX60" s="685"/>
      <c r="EY60" s="685"/>
      <c r="EZ60" s="685"/>
      <c r="FA60" s="685"/>
      <c r="FB60" s="685"/>
      <c r="FC60" s="685"/>
      <c r="FD60" s="685"/>
      <c r="FE60" s="685"/>
      <c r="FF60" s="685"/>
      <c r="FG60" s="685"/>
      <c r="FH60" s="685"/>
      <c r="FI60" s="685"/>
      <c r="FJ60" s="685"/>
      <c r="FK60" s="685"/>
      <c r="FL60" s="685"/>
      <c r="FM60" s="685"/>
      <c r="FN60" s="685"/>
      <c r="FO60" s="685"/>
      <c r="FP60" s="685"/>
      <c r="FQ60" s="685"/>
      <c r="FR60" s="685"/>
      <c r="FS60" s="685"/>
      <c r="FT60" s="685"/>
      <c r="FU60" s="685"/>
      <c r="FV60" s="685"/>
      <c r="FW60" s="685"/>
      <c r="FX60" s="685"/>
      <c r="FY60" s="685"/>
      <c r="FZ60" s="685"/>
      <c r="GA60" s="685"/>
      <c r="GB60" s="685"/>
      <c r="GC60" s="685"/>
      <c r="GD60" s="685"/>
      <c r="GE60" s="685"/>
      <c r="GF60" s="685"/>
      <c r="GG60" s="685"/>
      <c r="GH60" s="685"/>
      <c r="GI60" s="685"/>
      <c r="GJ60" s="685"/>
      <c r="GK60" s="685"/>
      <c r="GL60" s="685"/>
      <c r="GM60" s="685"/>
      <c r="GN60" s="685"/>
      <c r="GO60" s="685"/>
      <c r="GP60" s="685"/>
      <c r="GQ60" s="685"/>
      <c r="GR60" s="685"/>
      <c r="GS60" s="685"/>
      <c r="GT60" s="685"/>
      <c r="GU60" s="685"/>
      <c r="GV60" s="685"/>
      <c r="GW60" s="685"/>
    </row>
    <row r="61" spans="1:205" s="640" customFormat="1">
      <c r="K61" s="685"/>
      <c r="L61" s="685"/>
      <c r="M61" s="685"/>
      <c r="N61" s="685"/>
      <c r="O61" s="685"/>
      <c r="P61" s="685"/>
      <c r="Q61" s="685"/>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5"/>
      <c r="AU61" s="685"/>
      <c r="AV61" s="685"/>
      <c r="AW61" s="685"/>
      <c r="AX61" s="685"/>
      <c r="AY61" s="685"/>
      <c r="AZ61" s="685"/>
      <c r="BA61" s="685"/>
      <c r="BB61" s="685"/>
      <c r="BC61" s="685"/>
      <c r="BD61" s="685"/>
      <c r="BE61" s="685"/>
      <c r="BF61" s="685"/>
      <c r="BG61" s="685"/>
      <c r="BH61" s="685"/>
      <c r="BI61" s="685"/>
      <c r="BJ61" s="685"/>
      <c r="BK61" s="685"/>
      <c r="BL61" s="685"/>
      <c r="BM61" s="685"/>
      <c r="BN61" s="685"/>
      <c r="BO61" s="685"/>
      <c r="BP61" s="685"/>
      <c r="BQ61" s="685"/>
      <c r="BR61" s="685"/>
      <c r="BS61" s="685"/>
      <c r="BT61" s="685"/>
      <c r="BU61" s="685"/>
      <c r="BV61" s="685"/>
      <c r="BW61" s="685"/>
      <c r="BX61" s="685"/>
      <c r="BY61" s="685"/>
      <c r="BZ61" s="685"/>
      <c r="CA61" s="685"/>
      <c r="CB61" s="685"/>
      <c r="CC61" s="685"/>
      <c r="CD61" s="685"/>
      <c r="CE61" s="685"/>
      <c r="CF61" s="685"/>
      <c r="CG61" s="685"/>
      <c r="CH61" s="685"/>
      <c r="CI61" s="685"/>
      <c r="CJ61" s="685"/>
      <c r="CK61" s="685"/>
      <c r="CL61" s="685"/>
      <c r="CM61" s="685"/>
      <c r="CN61" s="685"/>
      <c r="CO61" s="685"/>
      <c r="CP61" s="685"/>
      <c r="CQ61" s="685"/>
      <c r="CR61" s="685"/>
      <c r="CS61" s="685"/>
      <c r="CT61" s="685"/>
      <c r="CU61" s="685"/>
      <c r="CV61" s="685"/>
      <c r="CW61" s="685"/>
      <c r="CX61" s="685"/>
      <c r="CY61" s="685"/>
      <c r="CZ61" s="685"/>
      <c r="DA61" s="685"/>
      <c r="DB61" s="685"/>
      <c r="DC61" s="685"/>
      <c r="DD61" s="685"/>
      <c r="DE61" s="685"/>
      <c r="DF61" s="685"/>
      <c r="DG61" s="685"/>
      <c r="DH61" s="685"/>
      <c r="DI61" s="685"/>
      <c r="DJ61" s="685"/>
      <c r="DK61" s="685"/>
      <c r="DL61" s="685"/>
      <c r="DM61" s="685"/>
      <c r="DN61" s="685"/>
      <c r="DO61" s="685"/>
      <c r="DP61" s="685"/>
      <c r="DQ61" s="685"/>
      <c r="DR61" s="685"/>
      <c r="DS61" s="685"/>
      <c r="DT61" s="685"/>
      <c r="DU61" s="685"/>
      <c r="DV61" s="685"/>
      <c r="DW61" s="685"/>
      <c r="DX61" s="685"/>
      <c r="DY61" s="685"/>
      <c r="DZ61" s="685"/>
      <c r="EA61" s="685"/>
      <c r="EB61" s="685"/>
      <c r="EC61" s="685"/>
      <c r="ED61" s="685"/>
      <c r="EE61" s="685"/>
      <c r="EF61" s="685"/>
      <c r="EG61" s="685"/>
      <c r="EH61" s="685"/>
      <c r="EI61" s="685"/>
      <c r="EJ61" s="685"/>
      <c r="EK61" s="685"/>
      <c r="EL61" s="685"/>
      <c r="EM61" s="685"/>
      <c r="EN61" s="685"/>
      <c r="EO61" s="685"/>
      <c r="EP61" s="685"/>
      <c r="EQ61" s="685"/>
      <c r="ER61" s="685"/>
      <c r="ES61" s="685"/>
      <c r="ET61" s="685"/>
      <c r="EU61" s="685"/>
      <c r="EV61" s="685"/>
      <c r="EW61" s="685"/>
      <c r="EX61" s="685"/>
      <c r="EY61" s="685"/>
      <c r="EZ61" s="685"/>
      <c r="FA61" s="685"/>
      <c r="FB61" s="685"/>
      <c r="FC61" s="685"/>
      <c r="FD61" s="685"/>
      <c r="FE61" s="685"/>
      <c r="FF61" s="685"/>
      <c r="FG61" s="685"/>
      <c r="FH61" s="685"/>
      <c r="FI61" s="685"/>
      <c r="FJ61" s="685"/>
      <c r="FK61" s="685"/>
      <c r="FL61" s="685"/>
      <c r="FM61" s="685"/>
      <c r="FN61" s="685"/>
      <c r="FO61" s="685"/>
      <c r="FP61" s="685"/>
      <c r="FQ61" s="685"/>
      <c r="FR61" s="685"/>
      <c r="FS61" s="685"/>
      <c r="FT61" s="685"/>
      <c r="FU61" s="685"/>
      <c r="FV61" s="685"/>
      <c r="FW61" s="685"/>
      <c r="FX61" s="685"/>
      <c r="FY61" s="685"/>
      <c r="FZ61" s="685"/>
      <c r="GA61" s="685"/>
      <c r="GB61" s="685"/>
      <c r="GC61" s="685"/>
      <c r="GD61" s="685"/>
      <c r="GE61" s="685"/>
      <c r="GF61" s="685"/>
      <c r="GG61" s="685"/>
      <c r="GH61" s="685"/>
      <c r="GI61" s="685"/>
      <c r="GJ61" s="685"/>
      <c r="GK61" s="685"/>
      <c r="GL61" s="685"/>
      <c r="GM61" s="685"/>
      <c r="GN61" s="685"/>
      <c r="GO61" s="685"/>
      <c r="GP61" s="685"/>
      <c r="GQ61" s="685"/>
      <c r="GR61" s="685"/>
      <c r="GS61" s="685"/>
      <c r="GT61" s="685"/>
      <c r="GU61" s="685"/>
      <c r="GV61" s="685"/>
      <c r="GW61" s="685"/>
    </row>
    <row r="62" spans="1:205" ht="15.75" customHeight="1">
      <c r="A62" s="685"/>
      <c r="B62" s="685"/>
      <c r="C62" s="685"/>
      <c r="D62" s="685"/>
      <c r="E62" s="685"/>
      <c r="F62" s="685"/>
      <c r="G62" s="685"/>
      <c r="H62" s="685"/>
      <c r="I62" s="685"/>
      <c r="J62" s="685"/>
      <c r="K62" s="636"/>
      <c r="L62" s="636"/>
      <c r="M62" s="636"/>
      <c r="N62" s="636"/>
      <c r="O62" s="636"/>
      <c r="P62" s="636"/>
      <c r="Q62" s="636"/>
      <c r="R62" s="636"/>
      <c r="S62" s="636"/>
      <c r="T62" s="636"/>
      <c r="U62" s="636"/>
      <c r="V62" s="636"/>
      <c r="W62" s="636"/>
      <c r="X62" s="636"/>
      <c r="Y62" s="636"/>
      <c r="Z62" s="636"/>
      <c r="AA62" s="636"/>
      <c r="AB62" s="636"/>
      <c r="AC62" s="636"/>
      <c r="AD62" s="636"/>
      <c r="AE62" s="636"/>
      <c r="AF62" s="636"/>
      <c r="AG62" s="636"/>
      <c r="AH62" s="636"/>
      <c r="AI62" s="636"/>
      <c r="AJ62" s="636"/>
      <c r="AK62" s="636"/>
      <c r="AL62" s="636"/>
      <c r="AM62" s="636"/>
      <c r="AN62" s="636"/>
      <c r="AO62" s="636"/>
      <c r="AP62" s="636"/>
      <c r="AQ62" s="636"/>
      <c r="AR62" s="636"/>
      <c r="AS62" s="636"/>
      <c r="AT62" s="636"/>
      <c r="AU62" s="636"/>
      <c r="AV62" s="636"/>
      <c r="AW62" s="636"/>
      <c r="AX62" s="636"/>
      <c r="AY62" s="636"/>
      <c r="AZ62" s="636"/>
      <c r="BA62" s="636"/>
      <c r="BB62" s="636"/>
      <c r="BC62" s="636"/>
      <c r="BD62" s="636"/>
      <c r="BE62" s="636"/>
      <c r="BF62" s="636"/>
      <c r="BG62" s="636"/>
      <c r="BH62" s="636"/>
      <c r="BI62" s="636"/>
      <c r="BJ62" s="636"/>
      <c r="BK62" s="636"/>
      <c r="BL62" s="636"/>
      <c r="BM62" s="636"/>
      <c r="BN62" s="636"/>
      <c r="BO62" s="636"/>
      <c r="BP62" s="636"/>
      <c r="BQ62" s="636"/>
      <c r="BR62" s="636"/>
      <c r="BS62" s="636"/>
      <c r="BT62" s="636"/>
      <c r="BU62" s="636"/>
      <c r="BV62" s="636"/>
      <c r="BW62" s="636"/>
      <c r="BX62" s="636"/>
      <c r="BY62" s="636"/>
      <c r="BZ62" s="636"/>
      <c r="CA62" s="636"/>
      <c r="CB62" s="636"/>
      <c r="CC62" s="636"/>
      <c r="CD62" s="636"/>
      <c r="CE62" s="636"/>
      <c r="CF62" s="636"/>
      <c r="CG62" s="636"/>
      <c r="CH62" s="636"/>
      <c r="CI62" s="636"/>
      <c r="CJ62" s="636"/>
      <c r="CK62" s="636"/>
      <c r="CL62" s="636"/>
      <c r="CM62" s="636"/>
      <c r="CN62" s="636"/>
      <c r="CO62" s="636"/>
      <c r="CP62" s="636"/>
      <c r="CQ62" s="636"/>
      <c r="CR62" s="636"/>
      <c r="CS62" s="636"/>
      <c r="CT62" s="636"/>
      <c r="CU62" s="636"/>
      <c r="CV62" s="636"/>
      <c r="CW62" s="636"/>
      <c r="CX62" s="636"/>
      <c r="CY62" s="636"/>
      <c r="CZ62" s="636"/>
      <c r="DA62" s="636"/>
      <c r="DB62" s="636"/>
      <c r="DC62" s="636"/>
      <c r="DD62" s="636"/>
      <c r="DE62" s="636"/>
      <c r="DF62" s="636"/>
      <c r="DG62" s="636"/>
      <c r="DH62" s="636"/>
      <c r="DI62" s="636"/>
      <c r="DJ62" s="636"/>
      <c r="DK62" s="636"/>
      <c r="DL62" s="636"/>
      <c r="DM62" s="636"/>
      <c r="DN62" s="636"/>
      <c r="DO62" s="636"/>
      <c r="DP62" s="636"/>
      <c r="DQ62" s="636"/>
      <c r="DR62" s="636"/>
      <c r="DS62" s="636"/>
      <c r="DT62" s="636"/>
      <c r="DU62" s="636"/>
      <c r="DV62" s="636"/>
      <c r="DW62" s="636"/>
      <c r="DX62" s="636"/>
      <c r="DY62" s="636"/>
      <c r="DZ62" s="636"/>
      <c r="EA62" s="636"/>
      <c r="EB62" s="636"/>
      <c r="EC62" s="636"/>
      <c r="ED62" s="636"/>
      <c r="EE62" s="636"/>
      <c r="EF62" s="636"/>
      <c r="EG62" s="636"/>
      <c r="EH62" s="636"/>
      <c r="EI62" s="636"/>
      <c r="EJ62" s="636"/>
      <c r="EK62" s="636"/>
      <c r="EL62" s="636"/>
      <c r="EM62" s="636"/>
      <c r="EN62" s="636"/>
      <c r="EO62" s="636"/>
      <c r="EP62" s="636"/>
      <c r="EQ62" s="636"/>
      <c r="ER62" s="636"/>
      <c r="ES62" s="636"/>
      <c r="ET62" s="636"/>
      <c r="EU62" s="636"/>
      <c r="EV62" s="636"/>
      <c r="EW62" s="636"/>
      <c r="EX62" s="636"/>
      <c r="EY62" s="636"/>
      <c r="EZ62" s="636"/>
      <c r="FA62" s="636"/>
      <c r="FB62" s="636"/>
      <c r="FC62" s="636"/>
      <c r="FD62" s="636"/>
      <c r="FE62" s="636"/>
      <c r="FF62" s="636"/>
      <c r="FG62" s="636"/>
      <c r="FH62" s="636"/>
      <c r="FI62" s="636"/>
      <c r="FJ62" s="636"/>
      <c r="FK62" s="636"/>
      <c r="FL62" s="636"/>
      <c r="FM62" s="636"/>
      <c r="FN62" s="636"/>
      <c r="FO62" s="636"/>
      <c r="FP62" s="636"/>
      <c r="FQ62" s="636"/>
      <c r="FR62" s="636"/>
      <c r="FS62" s="636"/>
      <c r="FT62" s="636"/>
      <c r="FU62" s="636"/>
      <c r="FV62" s="636"/>
      <c r="FW62" s="636"/>
      <c r="FX62" s="636"/>
      <c r="FY62" s="636"/>
      <c r="FZ62" s="636"/>
      <c r="GA62" s="636"/>
      <c r="GB62" s="636"/>
      <c r="GC62" s="636"/>
      <c r="GD62" s="636"/>
      <c r="GE62" s="636"/>
      <c r="GF62" s="636"/>
      <c r="GG62" s="636"/>
      <c r="GH62" s="636"/>
      <c r="GI62" s="636"/>
      <c r="GJ62" s="636"/>
      <c r="GK62" s="636"/>
      <c r="GL62" s="636"/>
      <c r="GM62" s="636"/>
      <c r="GN62" s="636"/>
      <c r="GO62" s="636"/>
      <c r="GP62" s="636"/>
      <c r="GQ62" s="636"/>
      <c r="GR62" s="636"/>
      <c r="GS62" s="636"/>
      <c r="GT62" s="636"/>
      <c r="GU62" s="636"/>
      <c r="GV62" s="636"/>
      <c r="GW62" s="636"/>
    </row>
    <row r="63" spans="1:205" ht="8.25" customHeight="1">
      <c r="A63" s="640"/>
      <c r="B63" s="640"/>
      <c r="C63" s="640"/>
      <c r="D63" s="640"/>
      <c r="E63" s="640"/>
      <c r="F63" s="640"/>
      <c r="G63" s="640"/>
      <c r="H63" s="640"/>
      <c r="I63" s="640"/>
      <c r="J63" s="640"/>
      <c r="K63" s="636"/>
      <c r="L63" s="636"/>
      <c r="M63" s="636"/>
      <c r="N63" s="636"/>
      <c r="O63" s="636"/>
      <c r="P63" s="636"/>
      <c r="Q63" s="636"/>
      <c r="R63" s="636"/>
      <c r="S63" s="636"/>
      <c r="T63" s="636"/>
      <c r="U63" s="636"/>
      <c r="V63" s="636"/>
      <c r="W63" s="636"/>
      <c r="X63" s="636"/>
      <c r="Y63" s="636"/>
      <c r="Z63" s="636"/>
      <c r="AA63" s="636"/>
      <c r="AB63" s="636"/>
      <c r="AC63" s="636"/>
      <c r="AD63" s="636"/>
      <c r="AE63" s="636"/>
      <c r="AF63" s="636"/>
      <c r="AG63" s="636"/>
      <c r="AH63" s="636"/>
      <c r="AI63" s="636"/>
      <c r="AJ63" s="636"/>
      <c r="AK63" s="636"/>
      <c r="AL63" s="636"/>
      <c r="AM63" s="636"/>
      <c r="AN63" s="636"/>
      <c r="AO63" s="636"/>
      <c r="AP63" s="636"/>
      <c r="AQ63" s="636"/>
      <c r="AR63" s="636"/>
      <c r="AS63" s="636"/>
      <c r="AT63" s="636"/>
      <c r="AU63" s="636"/>
      <c r="AV63" s="636"/>
      <c r="AW63" s="636"/>
      <c r="AX63" s="636"/>
      <c r="AY63" s="636"/>
      <c r="AZ63" s="636"/>
      <c r="BA63" s="636"/>
      <c r="BB63" s="636"/>
      <c r="BC63" s="636"/>
      <c r="BD63" s="636"/>
      <c r="BE63" s="636"/>
      <c r="BF63" s="636"/>
      <c r="BG63" s="636"/>
      <c r="BH63" s="636"/>
      <c r="BI63" s="636"/>
      <c r="BJ63" s="636"/>
      <c r="BK63" s="636"/>
      <c r="BL63" s="636"/>
      <c r="BM63" s="636"/>
      <c r="BN63" s="636"/>
      <c r="BO63" s="636"/>
      <c r="BP63" s="636"/>
      <c r="BQ63" s="636"/>
      <c r="BR63" s="636"/>
      <c r="BS63" s="636"/>
      <c r="BT63" s="636"/>
      <c r="BU63" s="636"/>
      <c r="BV63" s="636"/>
      <c r="BW63" s="636"/>
      <c r="BX63" s="636"/>
      <c r="BY63" s="636"/>
      <c r="BZ63" s="636"/>
      <c r="CA63" s="636"/>
      <c r="CB63" s="636"/>
      <c r="CC63" s="636"/>
      <c r="CD63" s="636"/>
      <c r="CE63" s="636"/>
      <c r="CF63" s="636"/>
      <c r="CG63" s="636"/>
      <c r="CH63" s="636"/>
      <c r="CI63" s="636"/>
      <c r="CJ63" s="636"/>
      <c r="CK63" s="636"/>
      <c r="CL63" s="636"/>
      <c r="CM63" s="636"/>
      <c r="CN63" s="636"/>
      <c r="CO63" s="636"/>
      <c r="CP63" s="636"/>
      <c r="CQ63" s="636"/>
      <c r="CR63" s="636"/>
      <c r="CS63" s="636"/>
      <c r="CT63" s="636"/>
      <c r="CU63" s="636"/>
      <c r="CV63" s="636"/>
      <c r="CW63" s="636"/>
      <c r="CX63" s="636"/>
      <c r="CY63" s="636"/>
      <c r="CZ63" s="636"/>
      <c r="DA63" s="636"/>
      <c r="DB63" s="636"/>
      <c r="DC63" s="636"/>
      <c r="DD63" s="636"/>
      <c r="DE63" s="636"/>
      <c r="DF63" s="636"/>
      <c r="DG63" s="636"/>
      <c r="DH63" s="636"/>
      <c r="DI63" s="636"/>
      <c r="DJ63" s="636"/>
      <c r="DK63" s="636"/>
      <c r="DL63" s="636"/>
      <c r="DM63" s="636"/>
      <c r="DN63" s="636"/>
      <c r="DO63" s="636"/>
      <c r="DP63" s="636"/>
      <c r="DQ63" s="636"/>
      <c r="DR63" s="636"/>
      <c r="DS63" s="636"/>
      <c r="DT63" s="636"/>
      <c r="DU63" s="636"/>
      <c r="DV63" s="636"/>
      <c r="DW63" s="636"/>
      <c r="DX63" s="636"/>
      <c r="DY63" s="636"/>
      <c r="DZ63" s="636"/>
      <c r="EA63" s="636"/>
      <c r="EB63" s="636"/>
      <c r="EC63" s="636"/>
      <c r="ED63" s="636"/>
      <c r="EE63" s="636"/>
      <c r="EF63" s="636"/>
      <c r="EG63" s="636"/>
      <c r="EH63" s="636"/>
      <c r="EI63" s="636"/>
      <c r="EJ63" s="636"/>
      <c r="EK63" s="636"/>
      <c r="EL63" s="636"/>
      <c r="EM63" s="636"/>
      <c r="EN63" s="636"/>
      <c r="EO63" s="636"/>
      <c r="EP63" s="636"/>
      <c r="EQ63" s="636"/>
      <c r="ER63" s="636"/>
      <c r="ES63" s="636"/>
      <c r="ET63" s="636"/>
      <c r="EU63" s="636"/>
      <c r="EV63" s="636"/>
      <c r="EW63" s="636"/>
      <c r="EX63" s="636"/>
      <c r="EY63" s="636"/>
      <c r="EZ63" s="636"/>
      <c r="FA63" s="636"/>
      <c r="FB63" s="636"/>
      <c r="FC63" s="636"/>
      <c r="FD63" s="636"/>
      <c r="FE63" s="636"/>
      <c r="FF63" s="636"/>
      <c r="FG63" s="636"/>
      <c r="FH63" s="636"/>
      <c r="FI63" s="636"/>
      <c r="FJ63" s="636"/>
      <c r="FK63" s="636"/>
      <c r="FL63" s="636"/>
      <c r="FM63" s="636"/>
      <c r="FN63" s="636"/>
      <c r="FO63" s="636"/>
      <c r="FP63" s="636"/>
      <c r="FQ63" s="636"/>
      <c r="FR63" s="636"/>
      <c r="FS63" s="636"/>
      <c r="FT63" s="636"/>
      <c r="FU63" s="636"/>
      <c r="FV63" s="636"/>
      <c r="FW63" s="636"/>
      <c r="FX63" s="636"/>
      <c r="FY63" s="636"/>
      <c r="FZ63" s="636"/>
      <c r="GA63" s="636"/>
      <c r="GB63" s="636"/>
      <c r="GC63" s="636"/>
      <c r="GD63" s="636"/>
      <c r="GE63" s="636"/>
      <c r="GF63" s="636"/>
      <c r="GG63" s="636"/>
      <c r="GH63" s="636"/>
      <c r="GI63" s="636"/>
      <c r="GJ63" s="636"/>
      <c r="GK63" s="636"/>
      <c r="GL63" s="636"/>
      <c r="GM63" s="636"/>
      <c r="GN63" s="636"/>
      <c r="GO63" s="636"/>
      <c r="GP63" s="636"/>
      <c r="GQ63" s="636"/>
      <c r="GR63" s="636"/>
      <c r="GS63" s="636"/>
      <c r="GT63" s="636"/>
      <c r="GU63" s="636"/>
      <c r="GV63" s="636"/>
      <c r="GW63" s="636"/>
    </row>
    <row r="64" spans="1:205">
      <c r="A64" s="686" t="s">
        <v>1247</v>
      </c>
      <c r="B64" s="687"/>
      <c r="C64" s="687"/>
      <c r="D64" s="687"/>
      <c r="E64" s="687"/>
      <c r="F64" s="687"/>
      <c r="G64" s="687"/>
      <c r="H64" s="687"/>
      <c r="I64" s="777"/>
      <c r="J64" s="777"/>
      <c r="K64" s="636"/>
      <c r="L64" s="636"/>
      <c r="M64" s="636"/>
      <c r="N64" s="636"/>
      <c r="O64" s="636"/>
      <c r="P64" s="636"/>
      <c r="Q64" s="636"/>
      <c r="R64" s="636"/>
      <c r="S64" s="636"/>
      <c r="T64" s="636"/>
      <c r="U64" s="636"/>
      <c r="V64" s="636"/>
      <c r="W64" s="636"/>
      <c r="X64" s="636"/>
      <c r="Y64" s="636"/>
      <c r="Z64" s="636"/>
      <c r="AA64" s="636"/>
      <c r="AB64" s="636"/>
      <c r="AC64" s="636"/>
      <c r="AD64" s="636"/>
      <c r="AE64" s="636"/>
      <c r="AF64" s="636"/>
      <c r="AG64" s="636"/>
      <c r="AH64" s="636"/>
      <c r="AI64" s="636"/>
      <c r="AJ64" s="636"/>
      <c r="AK64" s="636"/>
      <c r="AL64" s="636"/>
      <c r="AM64" s="636"/>
      <c r="AN64" s="636"/>
      <c r="AO64" s="636"/>
      <c r="AP64" s="636"/>
      <c r="AQ64" s="636"/>
      <c r="AR64" s="636"/>
      <c r="AS64" s="636"/>
      <c r="AT64" s="636"/>
      <c r="AU64" s="636"/>
      <c r="AV64" s="636"/>
      <c r="AW64" s="636"/>
      <c r="AX64" s="636"/>
      <c r="AY64" s="636"/>
      <c r="AZ64" s="636"/>
      <c r="BA64" s="636"/>
      <c r="BB64" s="636"/>
      <c r="BC64" s="636"/>
      <c r="BD64" s="636"/>
      <c r="BE64" s="636"/>
      <c r="BF64" s="636"/>
      <c r="BG64" s="636"/>
      <c r="BH64" s="636"/>
      <c r="BI64" s="636"/>
      <c r="BJ64" s="636"/>
      <c r="BK64" s="636"/>
      <c r="BL64" s="636"/>
      <c r="BM64" s="636"/>
      <c r="BN64" s="636"/>
      <c r="BO64" s="636"/>
      <c r="BP64" s="636"/>
      <c r="BQ64" s="636"/>
      <c r="BR64" s="636"/>
      <c r="BS64" s="636"/>
      <c r="BT64" s="636"/>
      <c r="BU64" s="636"/>
      <c r="BV64" s="636"/>
      <c r="BW64" s="636"/>
      <c r="BX64" s="636"/>
      <c r="BY64" s="636"/>
      <c r="BZ64" s="636"/>
      <c r="CA64" s="636"/>
      <c r="CB64" s="636"/>
      <c r="CC64" s="636"/>
      <c r="CD64" s="636"/>
      <c r="CE64" s="636"/>
      <c r="CF64" s="636"/>
      <c r="CG64" s="636"/>
      <c r="CH64" s="636"/>
      <c r="CI64" s="636"/>
      <c r="CJ64" s="636"/>
      <c r="CK64" s="636"/>
      <c r="CL64" s="636"/>
      <c r="CM64" s="636"/>
      <c r="CN64" s="636"/>
      <c r="CO64" s="636"/>
      <c r="CP64" s="636"/>
      <c r="CQ64" s="636"/>
      <c r="CR64" s="636"/>
      <c r="CS64" s="636"/>
      <c r="CT64" s="636"/>
      <c r="CU64" s="636"/>
      <c r="CV64" s="636"/>
      <c r="CW64" s="636"/>
      <c r="CX64" s="636"/>
      <c r="CY64" s="636"/>
      <c r="CZ64" s="636"/>
      <c r="DA64" s="636"/>
      <c r="DB64" s="636"/>
      <c r="DC64" s="636"/>
      <c r="DD64" s="636"/>
      <c r="DE64" s="636"/>
      <c r="DF64" s="636"/>
      <c r="DG64" s="636"/>
      <c r="DH64" s="636"/>
      <c r="DI64" s="636"/>
      <c r="DJ64" s="636"/>
      <c r="DK64" s="636"/>
      <c r="DL64" s="636"/>
      <c r="DM64" s="636"/>
      <c r="DN64" s="636"/>
      <c r="DO64" s="636"/>
      <c r="DP64" s="636"/>
      <c r="DQ64" s="636"/>
      <c r="DR64" s="636"/>
      <c r="DS64" s="636"/>
      <c r="DT64" s="636"/>
      <c r="DU64" s="636"/>
      <c r="DV64" s="636"/>
      <c r="DW64" s="636"/>
      <c r="DX64" s="636"/>
      <c r="DY64" s="636"/>
      <c r="DZ64" s="636"/>
      <c r="EA64" s="636"/>
      <c r="EB64" s="636"/>
      <c r="EC64" s="636"/>
      <c r="ED64" s="636"/>
      <c r="EE64" s="636"/>
      <c r="EF64" s="636"/>
      <c r="EG64" s="636"/>
      <c r="EH64" s="636"/>
      <c r="EI64" s="636"/>
      <c r="EJ64" s="636"/>
      <c r="EK64" s="636"/>
      <c r="EL64" s="636"/>
      <c r="EM64" s="636"/>
      <c r="EN64" s="636"/>
      <c r="EO64" s="636"/>
      <c r="EP64" s="636"/>
      <c r="EQ64" s="636"/>
      <c r="ER64" s="636"/>
      <c r="ES64" s="636"/>
      <c r="ET64" s="636"/>
      <c r="EU64" s="636"/>
      <c r="EV64" s="636"/>
      <c r="EW64" s="636"/>
      <c r="EX64" s="636"/>
      <c r="EY64" s="636"/>
      <c r="EZ64" s="636"/>
      <c r="FA64" s="636"/>
      <c r="FB64" s="636"/>
      <c r="FC64" s="636"/>
      <c r="FD64" s="636"/>
      <c r="FE64" s="636"/>
      <c r="FF64" s="636"/>
      <c r="FG64" s="636"/>
      <c r="FH64" s="636"/>
      <c r="FI64" s="636"/>
      <c r="FJ64" s="636"/>
      <c r="FK64" s="636"/>
      <c r="FL64" s="636"/>
      <c r="FM64" s="636"/>
      <c r="FN64" s="636"/>
      <c r="FO64" s="636"/>
      <c r="FP64" s="636"/>
      <c r="FQ64" s="636"/>
      <c r="FR64" s="636"/>
      <c r="FS64" s="636"/>
      <c r="FT64" s="636"/>
      <c r="FU64" s="636"/>
      <c r="FV64" s="636"/>
      <c r="FW64" s="636"/>
      <c r="FX64" s="636"/>
      <c r="FY64" s="636"/>
      <c r="FZ64" s="636"/>
      <c r="GA64" s="636"/>
      <c r="GB64" s="636"/>
      <c r="GC64" s="636"/>
      <c r="GD64" s="636"/>
      <c r="GE64" s="636"/>
      <c r="GF64" s="636"/>
      <c r="GG64" s="636"/>
      <c r="GH64" s="636"/>
      <c r="GI64" s="636"/>
      <c r="GJ64" s="636"/>
      <c r="GK64" s="636"/>
      <c r="GL64" s="636"/>
      <c r="GM64" s="636"/>
      <c r="GN64" s="636"/>
      <c r="GO64" s="636"/>
      <c r="GP64" s="636"/>
      <c r="GQ64" s="636"/>
      <c r="GR64" s="636"/>
      <c r="GS64" s="636"/>
      <c r="GT64" s="636"/>
      <c r="GU64" s="636"/>
      <c r="GV64" s="636"/>
      <c r="GW64" s="636"/>
    </row>
    <row r="65" spans="1:205" ht="15.75" customHeight="1">
      <c r="A65" s="688" t="s">
        <v>1298</v>
      </c>
      <c r="B65" s="687"/>
      <c r="C65" s="687"/>
      <c r="D65" s="687"/>
      <c r="E65" s="687"/>
      <c r="F65" s="687"/>
      <c r="G65" s="687"/>
      <c r="H65" s="687"/>
      <c r="I65" s="777"/>
      <c r="J65" s="777"/>
      <c r="K65" s="636"/>
      <c r="L65" s="636"/>
      <c r="M65" s="636"/>
      <c r="N65" s="636"/>
      <c r="O65" s="636"/>
      <c r="P65" s="636"/>
      <c r="Q65" s="636"/>
      <c r="R65" s="636"/>
      <c r="S65" s="636"/>
      <c r="T65" s="636"/>
      <c r="U65" s="636"/>
      <c r="V65" s="636"/>
      <c r="W65" s="636"/>
      <c r="X65" s="636"/>
      <c r="Y65" s="636"/>
      <c r="Z65" s="636"/>
      <c r="AA65" s="636"/>
      <c r="AB65" s="636"/>
      <c r="AC65" s="636"/>
      <c r="AD65" s="636"/>
      <c r="AE65" s="636"/>
      <c r="AF65" s="636"/>
      <c r="AG65" s="636"/>
      <c r="AH65" s="636"/>
      <c r="AI65" s="636"/>
      <c r="AJ65" s="636"/>
      <c r="AK65" s="636"/>
      <c r="AL65" s="636"/>
      <c r="AM65" s="636"/>
      <c r="AN65" s="636"/>
      <c r="AO65" s="636"/>
      <c r="AP65" s="636"/>
      <c r="AQ65" s="636"/>
      <c r="AR65" s="636"/>
      <c r="AS65" s="636"/>
      <c r="AT65" s="636"/>
      <c r="AU65" s="636"/>
      <c r="AV65" s="636"/>
      <c r="AW65" s="636"/>
      <c r="AX65" s="636"/>
      <c r="AY65" s="636"/>
      <c r="AZ65" s="636"/>
      <c r="BA65" s="636"/>
      <c r="BB65" s="636"/>
      <c r="BC65" s="636"/>
      <c r="BD65" s="636"/>
      <c r="BE65" s="636"/>
      <c r="BF65" s="636"/>
      <c r="BG65" s="636"/>
      <c r="BH65" s="636"/>
      <c r="BI65" s="636"/>
      <c r="BJ65" s="636"/>
      <c r="BK65" s="636"/>
      <c r="BL65" s="636"/>
      <c r="BM65" s="636"/>
      <c r="BN65" s="636"/>
      <c r="BO65" s="636"/>
      <c r="BP65" s="636"/>
      <c r="BQ65" s="636"/>
      <c r="BR65" s="636"/>
      <c r="BS65" s="636"/>
      <c r="BT65" s="636"/>
      <c r="BU65" s="636"/>
      <c r="BV65" s="636"/>
      <c r="BW65" s="636"/>
      <c r="BX65" s="636"/>
      <c r="BY65" s="636"/>
      <c r="BZ65" s="636"/>
      <c r="CA65" s="636"/>
      <c r="CB65" s="636"/>
      <c r="CC65" s="636"/>
      <c r="CD65" s="636"/>
      <c r="CE65" s="636"/>
      <c r="CF65" s="636"/>
      <c r="CG65" s="636"/>
      <c r="CH65" s="636"/>
      <c r="CI65" s="636"/>
      <c r="CJ65" s="636"/>
      <c r="CK65" s="636"/>
      <c r="CL65" s="636"/>
      <c r="CM65" s="636"/>
      <c r="CN65" s="636"/>
      <c r="CO65" s="636"/>
      <c r="CP65" s="636"/>
      <c r="CQ65" s="636"/>
      <c r="CR65" s="636"/>
      <c r="CS65" s="636"/>
      <c r="CT65" s="636"/>
      <c r="CU65" s="636"/>
      <c r="CV65" s="636"/>
      <c r="CW65" s="636"/>
      <c r="CX65" s="636"/>
      <c r="CY65" s="636"/>
      <c r="CZ65" s="636"/>
      <c r="DA65" s="636"/>
      <c r="DB65" s="636"/>
      <c r="DC65" s="636"/>
      <c r="DD65" s="636"/>
      <c r="DE65" s="636"/>
      <c r="DF65" s="636"/>
      <c r="DG65" s="636"/>
      <c r="DH65" s="636"/>
      <c r="DI65" s="636"/>
      <c r="DJ65" s="636"/>
      <c r="DK65" s="636"/>
      <c r="DL65" s="636"/>
      <c r="DM65" s="636"/>
      <c r="DN65" s="636"/>
      <c r="DO65" s="636"/>
      <c r="DP65" s="636"/>
      <c r="DQ65" s="636"/>
      <c r="DR65" s="636"/>
      <c r="DS65" s="636"/>
      <c r="DT65" s="636"/>
      <c r="DU65" s="636"/>
      <c r="DV65" s="636"/>
      <c r="DW65" s="636"/>
      <c r="DX65" s="636"/>
      <c r="DY65" s="636"/>
      <c r="DZ65" s="636"/>
      <c r="EA65" s="636"/>
      <c r="EB65" s="636"/>
      <c r="EC65" s="636"/>
      <c r="ED65" s="636"/>
      <c r="EE65" s="636"/>
      <c r="EF65" s="636"/>
      <c r="EG65" s="636"/>
      <c r="EH65" s="636"/>
      <c r="EI65" s="636"/>
      <c r="EJ65" s="636"/>
      <c r="EK65" s="636"/>
      <c r="EL65" s="636"/>
      <c r="EM65" s="636"/>
      <c r="EN65" s="636"/>
      <c r="EO65" s="636"/>
      <c r="EP65" s="636"/>
      <c r="EQ65" s="636"/>
      <c r="ER65" s="636"/>
      <c r="ES65" s="636"/>
      <c r="ET65" s="636"/>
      <c r="EU65" s="636"/>
      <c r="EV65" s="636"/>
      <c r="EW65" s="636"/>
      <c r="EX65" s="636"/>
      <c r="EY65" s="636"/>
      <c r="EZ65" s="636"/>
      <c r="FA65" s="636"/>
      <c r="FB65" s="636"/>
      <c r="FC65" s="636"/>
      <c r="FD65" s="636"/>
      <c r="FE65" s="636"/>
      <c r="FF65" s="636"/>
      <c r="FG65" s="636"/>
      <c r="FH65" s="636"/>
      <c r="FI65" s="636"/>
      <c r="FJ65" s="636"/>
      <c r="FK65" s="636"/>
      <c r="FL65" s="636"/>
      <c r="FM65" s="636"/>
      <c r="FN65" s="636"/>
      <c r="FO65" s="636"/>
      <c r="FP65" s="636"/>
      <c r="FQ65" s="636"/>
      <c r="FR65" s="636"/>
      <c r="FS65" s="636"/>
      <c r="FT65" s="636"/>
      <c r="FU65" s="636"/>
      <c r="FV65" s="636"/>
      <c r="FW65" s="636"/>
      <c r="FX65" s="636"/>
      <c r="FY65" s="636"/>
      <c r="FZ65" s="636"/>
      <c r="GA65" s="636"/>
      <c r="GB65" s="636"/>
      <c r="GC65" s="636"/>
      <c r="GD65" s="636"/>
      <c r="GE65" s="636"/>
      <c r="GF65" s="636"/>
      <c r="GG65" s="636"/>
      <c r="GH65" s="636"/>
      <c r="GI65" s="636"/>
      <c r="GJ65" s="636"/>
      <c r="GK65" s="636"/>
      <c r="GL65" s="636"/>
      <c r="GM65" s="636"/>
      <c r="GN65" s="636"/>
      <c r="GO65" s="636"/>
      <c r="GP65" s="636"/>
      <c r="GQ65" s="636"/>
      <c r="GR65" s="636"/>
      <c r="GS65" s="636"/>
      <c r="GT65" s="636"/>
      <c r="GU65" s="636"/>
      <c r="GV65" s="636"/>
      <c r="GW65" s="636"/>
    </row>
    <row r="66" spans="1:205" ht="6.75" customHeight="1">
      <c r="C66" s="640"/>
      <c r="D66" s="640"/>
      <c r="E66" s="640"/>
      <c r="F66" s="640"/>
      <c r="G66" s="640"/>
      <c r="H66" s="640"/>
      <c r="I66" s="640"/>
      <c r="J66" s="640"/>
      <c r="K66" s="636"/>
      <c r="L66" s="636"/>
      <c r="M66" s="636"/>
      <c r="N66" s="636"/>
      <c r="O66" s="636"/>
      <c r="P66" s="636"/>
      <c r="Q66" s="636"/>
      <c r="R66" s="636"/>
      <c r="S66" s="636"/>
      <c r="T66" s="636"/>
      <c r="U66" s="636"/>
      <c r="V66" s="636"/>
      <c r="W66" s="636"/>
      <c r="X66" s="636"/>
      <c r="Y66" s="636"/>
      <c r="Z66" s="636"/>
      <c r="AA66" s="636"/>
      <c r="AB66" s="636"/>
      <c r="AC66" s="636"/>
      <c r="AD66" s="636"/>
      <c r="AE66" s="636"/>
      <c r="AF66" s="636"/>
      <c r="AG66" s="636"/>
      <c r="AH66" s="636"/>
      <c r="AI66" s="636"/>
      <c r="AJ66" s="636"/>
      <c r="AK66" s="636"/>
      <c r="AL66" s="636"/>
      <c r="AM66" s="636"/>
      <c r="AN66" s="636"/>
      <c r="AO66" s="636"/>
      <c r="AP66" s="636"/>
      <c r="AQ66" s="636"/>
      <c r="AR66" s="636"/>
      <c r="AS66" s="636"/>
      <c r="AT66" s="636"/>
      <c r="AU66" s="636"/>
      <c r="AV66" s="636"/>
      <c r="AW66" s="636"/>
      <c r="AX66" s="636"/>
      <c r="AY66" s="636"/>
      <c r="AZ66" s="636"/>
      <c r="BA66" s="636"/>
      <c r="BB66" s="636"/>
      <c r="BC66" s="636"/>
      <c r="BD66" s="636"/>
      <c r="BE66" s="636"/>
      <c r="BF66" s="636"/>
      <c r="BG66" s="636"/>
      <c r="BH66" s="636"/>
      <c r="BI66" s="636"/>
      <c r="BJ66" s="636"/>
      <c r="BK66" s="636"/>
      <c r="BL66" s="636"/>
      <c r="BM66" s="636"/>
      <c r="BN66" s="636"/>
      <c r="BO66" s="636"/>
      <c r="BP66" s="636"/>
      <c r="BQ66" s="636"/>
      <c r="BR66" s="636"/>
      <c r="BS66" s="636"/>
      <c r="BT66" s="636"/>
      <c r="BU66" s="636"/>
      <c r="BV66" s="636"/>
      <c r="BW66" s="636"/>
      <c r="BX66" s="636"/>
      <c r="BY66" s="636"/>
      <c r="BZ66" s="636"/>
      <c r="CA66" s="636"/>
      <c r="CB66" s="636"/>
      <c r="CC66" s="636"/>
      <c r="CD66" s="636"/>
      <c r="CE66" s="636"/>
      <c r="CF66" s="636"/>
      <c r="CG66" s="636"/>
      <c r="CH66" s="636"/>
      <c r="CI66" s="636"/>
      <c r="CJ66" s="636"/>
      <c r="CK66" s="636"/>
      <c r="CL66" s="636"/>
      <c r="CM66" s="636"/>
      <c r="CN66" s="636"/>
      <c r="CO66" s="636"/>
      <c r="CP66" s="636"/>
      <c r="CQ66" s="636"/>
      <c r="CR66" s="636"/>
      <c r="CS66" s="636"/>
      <c r="CT66" s="636"/>
      <c r="CU66" s="636"/>
      <c r="CV66" s="636"/>
      <c r="CW66" s="636"/>
      <c r="CX66" s="636"/>
      <c r="CY66" s="636"/>
      <c r="CZ66" s="636"/>
      <c r="DA66" s="636"/>
      <c r="DB66" s="636"/>
      <c r="DC66" s="636"/>
      <c r="DD66" s="636"/>
      <c r="DE66" s="636"/>
      <c r="DF66" s="636"/>
      <c r="DG66" s="636"/>
      <c r="DH66" s="636"/>
      <c r="DI66" s="636"/>
      <c r="DJ66" s="636"/>
      <c r="DK66" s="636"/>
      <c r="DL66" s="636"/>
      <c r="DM66" s="636"/>
      <c r="DN66" s="636"/>
      <c r="DO66" s="636"/>
      <c r="DP66" s="636"/>
      <c r="DQ66" s="636"/>
      <c r="DR66" s="636"/>
      <c r="DS66" s="636"/>
      <c r="DT66" s="636"/>
      <c r="DU66" s="636"/>
      <c r="DV66" s="636"/>
      <c r="DW66" s="636"/>
      <c r="DX66" s="636"/>
      <c r="DY66" s="636"/>
      <c r="DZ66" s="636"/>
      <c r="EA66" s="636"/>
      <c r="EB66" s="636"/>
      <c r="EC66" s="636"/>
      <c r="ED66" s="636"/>
      <c r="EE66" s="636"/>
      <c r="EF66" s="636"/>
      <c r="EG66" s="636"/>
      <c r="EH66" s="636"/>
      <c r="EI66" s="636"/>
      <c r="EJ66" s="636"/>
      <c r="EK66" s="636"/>
      <c r="EL66" s="636"/>
      <c r="EM66" s="636"/>
      <c r="EN66" s="636"/>
      <c r="EO66" s="636"/>
      <c r="EP66" s="636"/>
      <c r="EQ66" s="636"/>
      <c r="ER66" s="636"/>
      <c r="ES66" s="636"/>
      <c r="ET66" s="636"/>
      <c r="EU66" s="636"/>
      <c r="EV66" s="636"/>
      <c r="EW66" s="636"/>
      <c r="EX66" s="636"/>
      <c r="EY66" s="636"/>
      <c r="EZ66" s="636"/>
      <c r="FA66" s="636"/>
      <c r="FB66" s="636"/>
      <c r="FC66" s="636"/>
      <c r="FD66" s="636"/>
      <c r="FE66" s="636"/>
      <c r="FF66" s="636"/>
      <c r="FG66" s="636"/>
      <c r="FH66" s="636"/>
      <c r="FI66" s="636"/>
      <c r="FJ66" s="636"/>
      <c r="FK66" s="636"/>
      <c r="FL66" s="636"/>
      <c r="FM66" s="636"/>
      <c r="FN66" s="636"/>
      <c r="FO66" s="636"/>
      <c r="FP66" s="636"/>
      <c r="FQ66" s="636"/>
      <c r="FR66" s="636"/>
      <c r="FS66" s="636"/>
      <c r="FT66" s="636"/>
      <c r="FU66" s="636"/>
      <c r="FV66" s="636"/>
      <c r="FW66" s="636"/>
      <c r="FX66" s="636"/>
      <c r="FY66" s="636"/>
      <c r="FZ66" s="636"/>
      <c r="GA66" s="636"/>
      <c r="GB66" s="636"/>
      <c r="GC66" s="636"/>
      <c r="GD66" s="636"/>
      <c r="GE66" s="636"/>
      <c r="GF66" s="636"/>
      <c r="GG66" s="636"/>
      <c r="GH66" s="636"/>
      <c r="GI66" s="636"/>
      <c r="GJ66" s="636"/>
      <c r="GK66" s="636"/>
      <c r="GL66" s="636"/>
      <c r="GM66" s="636"/>
      <c r="GN66" s="636"/>
      <c r="GO66" s="636"/>
      <c r="GP66" s="636"/>
      <c r="GQ66" s="636"/>
      <c r="GR66" s="636"/>
      <c r="GS66" s="636"/>
      <c r="GT66" s="636"/>
      <c r="GU66" s="636"/>
      <c r="GV66" s="636"/>
      <c r="GW66" s="636"/>
    </row>
    <row r="67" spans="1:205" ht="15.6" customHeight="1"/>
    <row r="503" ht="9.75" customHeight="1"/>
    <row r="530" ht="12" customHeight="1"/>
    <row r="537" ht="9.75" customHeight="1"/>
  </sheetData>
  <mergeCells count="9">
    <mergeCell ref="A1:J1"/>
    <mergeCell ref="A2:J2"/>
    <mergeCell ref="A3:J3"/>
    <mergeCell ref="I64:J64"/>
    <mergeCell ref="I65:J65"/>
    <mergeCell ref="E5:E6"/>
    <mergeCell ref="I5:J5"/>
    <mergeCell ref="A54:J54"/>
    <mergeCell ref="A59:I59"/>
  </mergeCells>
  <pageMargins left="0.74803149606299213" right="0.51181102362204722" top="0.59055118110236227" bottom="0.59055118110236227" header="0.19685039370078741" footer="0.27559055118110237"/>
  <pageSetup paperSize="9" scale="90" orientation="portrait" useFirstPageNumber="1" r:id="rId1"/>
  <headerFooter>
    <oddFooter>&amp;C1</oddFooter>
  </headerFooter>
</worksheet>
</file>

<file path=xl/worksheets/sheet10.xml><?xml version="1.0" encoding="utf-8"?>
<worksheet xmlns="http://schemas.openxmlformats.org/spreadsheetml/2006/main" xmlns:r="http://schemas.openxmlformats.org/officeDocument/2006/relationships">
  <sheetPr>
    <tabColor rgb="FFFF0000"/>
  </sheetPr>
  <dimension ref="A1:K26"/>
  <sheetViews>
    <sheetView view="pageBreakPreview" zoomScaleSheetLayoutView="100" workbookViewId="0">
      <selection activeCell="H18" sqref="H18"/>
    </sheetView>
  </sheetViews>
  <sheetFormatPr defaultRowHeight="15"/>
  <cols>
    <col min="1" max="1" width="4.85546875" style="110" customWidth="1"/>
    <col min="2" max="2" width="32" style="110" customWidth="1"/>
    <col min="3" max="3" width="15.42578125" style="110" customWidth="1"/>
    <col min="4" max="4" width="16.7109375" style="110" bestFit="1" customWidth="1"/>
    <col min="5" max="5" width="10.28515625" style="110" customWidth="1"/>
    <col min="6" max="6" width="18.42578125" style="110" bestFit="1" customWidth="1"/>
    <col min="7" max="7" width="8" style="110" customWidth="1"/>
    <col min="8" max="8" width="18" style="110" customWidth="1"/>
    <col min="9" max="10" width="9.140625" style="110"/>
    <col min="11" max="11" width="17.42578125" style="110" customWidth="1"/>
    <col min="12" max="12" width="18.7109375" style="110" customWidth="1"/>
    <col min="13" max="16384" width="9.140625" style="110"/>
  </cols>
  <sheetData>
    <row r="1" spans="1:11">
      <c r="B1" s="267"/>
    </row>
    <row r="2" spans="1:11">
      <c r="B2" s="267"/>
      <c r="K2" s="110">
        <v>209819395.28</v>
      </c>
    </row>
    <row r="3" spans="1:11">
      <c r="A3" s="808" t="s">
        <v>0</v>
      </c>
      <c r="B3" s="808"/>
      <c r="C3" s="808"/>
      <c r="D3" s="808"/>
      <c r="E3" s="808"/>
      <c r="F3" s="808"/>
      <c r="G3" s="808"/>
      <c r="H3" s="808"/>
    </row>
    <row r="4" spans="1:11">
      <c r="A4" s="808" t="s">
        <v>559</v>
      </c>
      <c r="B4" s="808"/>
      <c r="C4" s="808"/>
      <c r="D4" s="808"/>
      <c r="E4" s="808"/>
      <c r="F4" s="808"/>
      <c r="G4" s="808"/>
      <c r="H4" s="808"/>
    </row>
    <row r="5" spans="1:11">
      <c r="A5" s="808" t="s">
        <v>1093</v>
      </c>
      <c r="B5" s="808"/>
      <c r="C5" s="808"/>
      <c r="D5" s="808"/>
      <c r="E5" s="808"/>
      <c r="F5" s="808"/>
      <c r="G5" s="808"/>
      <c r="H5" s="808"/>
    </row>
    <row r="6" spans="1:11" ht="15" customHeight="1">
      <c r="A6" s="367"/>
      <c r="B6" s="367"/>
      <c r="C6" s="367"/>
      <c r="D6" s="367"/>
      <c r="E6" s="367"/>
      <c r="F6" s="808" t="s">
        <v>1092</v>
      </c>
      <c r="G6" s="808"/>
      <c r="H6" s="808"/>
    </row>
    <row r="7" spans="1:11">
      <c r="B7" s="267"/>
      <c r="F7" s="459" t="s">
        <v>877</v>
      </c>
      <c r="G7" s="459"/>
      <c r="H7" s="459" t="s">
        <v>878</v>
      </c>
    </row>
    <row r="8" spans="1:11">
      <c r="B8" s="267" t="s">
        <v>880</v>
      </c>
      <c r="F8" s="1">
        <f>'N-26-47 (2)-Tax'!N12</f>
        <v>1500824347.6100001</v>
      </c>
      <c r="G8" s="394">
        <v>6.0000000000000001E-3</v>
      </c>
      <c r="H8" s="5">
        <f>F8*G8</f>
        <v>9004946.0856600013</v>
      </c>
    </row>
    <row r="9" spans="1:11">
      <c r="B9" s="267" t="s">
        <v>1067</v>
      </c>
      <c r="F9" s="1" t="e">
        <f>#REF!</f>
        <v>#REF!</v>
      </c>
      <c r="G9" s="394">
        <v>6.0000000000000001E-3</v>
      </c>
      <c r="H9" s="5" t="e">
        <f>F9*G9</f>
        <v>#REF!</v>
      </c>
    </row>
    <row r="10" spans="1:11">
      <c r="A10" s="1"/>
      <c r="B10" s="267" t="s">
        <v>1188</v>
      </c>
      <c r="D10" s="1"/>
      <c r="E10" s="1"/>
      <c r="F10" s="1"/>
      <c r="G10" s="1"/>
      <c r="H10" s="254" t="e">
        <f>#REF!*0.5*0.25</f>
        <v>#REF!</v>
      </c>
    </row>
    <row r="11" spans="1:11">
      <c r="A11" s="1"/>
      <c r="B11" s="310" t="s">
        <v>1094</v>
      </c>
      <c r="C11" s="388"/>
      <c r="D11" s="388"/>
      <c r="E11" s="388"/>
      <c r="F11" s="479"/>
      <c r="G11" s="388"/>
      <c r="H11" s="480" t="e">
        <f>SUM(H8:H10)</f>
        <v>#REF!</v>
      </c>
      <c r="K11" s="357">
        <v>183464196.4498865</v>
      </c>
    </row>
    <row r="12" spans="1:11">
      <c r="A12" s="1"/>
      <c r="B12" s="14" t="s">
        <v>1095</v>
      </c>
      <c r="C12" s="1"/>
      <c r="D12" s="1"/>
      <c r="E12" s="1"/>
      <c r="F12" s="14"/>
      <c r="G12" s="1"/>
      <c r="H12" s="254">
        <v>22728382.025228783</v>
      </c>
    </row>
    <row r="13" spans="1:11" ht="15.75" thickBot="1">
      <c r="A13" s="1"/>
      <c r="B13" s="14" t="s">
        <v>1096</v>
      </c>
      <c r="C13" s="1"/>
      <c r="D13" s="1"/>
      <c r="E13" s="1"/>
      <c r="F13" s="14"/>
      <c r="G13" s="1"/>
      <c r="H13" s="114" t="e">
        <f>H11-H12</f>
        <v>#REF!</v>
      </c>
    </row>
    <row r="14" spans="1:11" ht="15.75" thickTop="1">
      <c r="A14" s="1"/>
      <c r="B14" s="14"/>
      <c r="C14" s="1"/>
      <c r="D14" s="1"/>
      <c r="E14" s="1"/>
      <c r="F14" s="14"/>
      <c r="G14" s="1"/>
      <c r="H14" s="1"/>
    </row>
    <row r="15" spans="1:11">
      <c r="A15" s="1"/>
      <c r="B15" s="345" t="s">
        <v>1233</v>
      </c>
      <c r="C15" s="1"/>
      <c r="D15" s="1"/>
      <c r="E15" s="1"/>
      <c r="F15" s="403"/>
      <c r="G15" s="1"/>
      <c r="H15" s="14" t="e">
        <f>#REF!*0.5*0.4</f>
        <v>#REF!</v>
      </c>
    </row>
    <row r="16" spans="1:11">
      <c r="A16" s="1"/>
      <c r="B16" s="345"/>
      <c r="C16" s="1"/>
      <c r="D16" s="1"/>
      <c r="E16" s="1"/>
      <c r="F16" s="1"/>
      <c r="G16" s="1"/>
      <c r="H16" s="1"/>
    </row>
    <row r="17" spans="1:8">
      <c r="A17" s="1"/>
      <c r="B17" s="808" t="s">
        <v>1097</v>
      </c>
      <c r="C17" s="808"/>
      <c r="D17" s="808"/>
      <c r="E17" s="1"/>
      <c r="F17" s="1"/>
      <c r="G17" s="1"/>
      <c r="H17" s="5">
        <v>25034024</v>
      </c>
    </row>
    <row r="18" spans="1:8" ht="15.75" thickBot="1">
      <c r="A18" s="1"/>
      <c r="B18" s="808" t="s">
        <v>1098</v>
      </c>
      <c r="C18" s="808"/>
      <c r="D18" s="808"/>
      <c r="E18" s="33"/>
      <c r="F18" s="33"/>
      <c r="G18" s="33"/>
      <c r="H18" s="33" t="e">
        <f>H15-H17</f>
        <v>#REF!</v>
      </c>
    </row>
    <row r="19" spans="1:8" ht="15.75" thickTop="1">
      <c r="B19" s="267"/>
    </row>
    <row r="20" spans="1:8">
      <c r="B20" s="267"/>
    </row>
    <row r="21" spans="1:8">
      <c r="C21" s="267"/>
      <c r="D21" s="267"/>
      <c r="E21" s="267"/>
      <c r="F21" s="267"/>
      <c r="G21" s="267"/>
      <c r="H21" s="267"/>
    </row>
    <row r="22" spans="1:8">
      <c r="C22" s="267"/>
      <c r="D22" s="267"/>
      <c r="E22" s="267"/>
      <c r="F22" s="267"/>
      <c r="G22" s="267"/>
      <c r="H22" s="9"/>
    </row>
    <row r="23" spans="1:8">
      <c r="C23" s="267"/>
      <c r="D23" s="9"/>
      <c r="E23" s="267"/>
      <c r="F23" s="7"/>
      <c r="G23" s="267"/>
      <c r="H23" s="9">
        <v>186884300.03083888</v>
      </c>
    </row>
    <row r="24" spans="1:8">
      <c r="C24" s="267"/>
      <c r="D24" s="267"/>
      <c r="E24" s="267"/>
      <c r="F24" s="267"/>
      <c r="G24" s="267"/>
      <c r="H24" s="267"/>
    </row>
    <row r="25" spans="1:8">
      <c r="C25" s="267"/>
      <c r="D25" s="267"/>
      <c r="E25" s="267"/>
      <c r="F25" s="267"/>
      <c r="G25" s="267"/>
      <c r="H25" s="267"/>
    </row>
    <row r="26" spans="1:8">
      <c r="F26" s="1" t="e">
        <f>H15-#REF!</f>
        <v>#REF!</v>
      </c>
    </row>
  </sheetData>
  <mergeCells count="6">
    <mergeCell ref="A3:H3"/>
    <mergeCell ref="A4:H4"/>
    <mergeCell ref="A5:H5"/>
    <mergeCell ref="B17:D17"/>
    <mergeCell ref="B18:D18"/>
    <mergeCell ref="F6:H6"/>
  </mergeCells>
  <pageMargins left="0.27559055118110198" right="0.196850393700787" top="0.47244094488188998" bottom="0.196850393700787" header="0.31496062992126" footer="0.31496062992126"/>
  <pageSetup scale="80" orientation="portrait" r:id="rId1"/>
</worksheet>
</file>

<file path=xl/worksheets/sheet11.xml><?xml version="1.0" encoding="utf-8"?>
<worksheet xmlns="http://schemas.openxmlformats.org/spreadsheetml/2006/main" xmlns:r="http://schemas.openxmlformats.org/officeDocument/2006/relationships">
  <dimension ref="A1:L83"/>
  <sheetViews>
    <sheetView workbookViewId="0">
      <selection activeCell="F83" sqref="F83"/>
    </sheetView>
  </sheetViews>
  <sheetFormatPr defaultRowHeight="15"/>
  <cols>
    <col min="1" max="1" width="3.7109375" style="110" customWidth="1"/>
    <col min="2" max="2" width="13.140625" style="110" bestFit="1" customWidth="1"/>
    <col min="3" max="3" width="13.42578125" style="367" customWidth="1"/>
    <col min="4" max="4" width="13.28515625" style="110" bestFit="1" customWidth="1"/>
    <col min="5" max="6" width="9.140625" style="110"/>
    <col min="7" max="7" width="18.7109375" style="110" customWidth="1"/>
    <col min="8" max="9" width="9.140625" style="110"/>
    <col min="10" max="10" width="13.28515625" style="110" bestFit="1" customWidth="1"/>
    <col min="11" max="16384" width="9.140625" style="110"/>
  </cols>
  <sheetData>
    <row r="1" spans="1:11" s="267" customFormat="1">
      <c r="C1" s="266"/>
    </row>
    <row r="3" spans="1:11" ht="18.75" customHeight="1">
      <c r="B3" s="808" t="s">
        <v>970</v>
      </c>
      <c r="C3" s="808"/>
      <c r="D3" s="808"/>
      <c r="E3" s="808"/>
      <c r="F3" s="808"/>
      <c r="G3" s="808"/>
    </row>
    <row r="4" spans="1:11" ht="18.75" customHeight="1">
      <c r="B4" s="808" t="s">
        <v>1099</v>
      </c>
      <c r="C4" s="808"/>
      <c r="D4" s="808"/>
      <c r="E4" s="808"/>
      <c r="F4" s="808"/>
      <c r="G4" s="808"/>
    </row>
    <row r="5" spans="1:11" ht="18.75" customHeight="1">
      <c r="A5" s="457" t="s">
        <v>1058</v>
      </c>
      <c r="B5" s="808" t="s">
        <v>971</v>
      </c>
      <c r="C5" s="808"/>
      <c r="D5" s="808"/>
      <c r="E5" s="808"/>
      <c r="F5" s="808"/>
      <c r="G5" s="808"/>
    </row>
    <row r="6" spans="1:11" ht="30">
      <c r="B6" s="430" t="s">
        <v>972</v>
      </c>
      <c r="C6" s="430" t="s">
        <v>973</v>
      </c>
      <c r="D6" s="430" t="s">
        <v>974</v>
      </c>
      <c r="E6" s="430" t="s">
        <v>975</v>
      </c>
      <c r="F6" s="430" t="s">
        <v>142</v>
      </c>
      <c r="G6" s="430" t="s">
        <v>976</v>
      </c>
    </row>
    <row r="7" spans="1:11" s="405" customFormat="1">
      <c r="B7" s="431">
        <v>43646</v>
      </c>
      <c r="C7" s="431">
        <v>43282</v>
      </c>
      <c r="D7" s="436">
        <v>80000</v>
      </c>
      <c r="E7" s="432">
        <f>B7-C7</f>
        <v>364</v>
      </c>
      <c r="F7" s="433">
        <v>0.1</v>
      </c>
      <c r="G7" s="428">
        <f>D7*E7/365*F7</f>
        <v>7978.0821917808225</v>
      </c>
    </row>
    <row r="8" spans="1:11" s="405" customFormat="1">
      <c r="B8" s="431">
        <v>43646</v>
      </c>
      <c r="C8" s="431">
        <v>43312</v>
      </c>
      <c r="D8" s="428">
        <v>5775</v>
      </c>
      <c r="E8" s="432">
        <f t="shared" ref="E8:E15" si="0">B8-C8</f>
        <v>334</v>
      </c>
      <c r="F8" s="433">
        <v>0.1</v>
      </c>
      <c r="G8" s="428">
        <f t="shared" ref="G8:G15" si="1">D8*E8/365*F8</f>
        <v>528.45205479452056</v>
      </c>
    </row>
    <row r="9" spans="1:11" s="405" customFormat="1">
      <c r="B9" s="431">
        <v>43646</v>
      </c>
      <c r="C9" s="431">
        <v>43312</v>
      </c>
      <c r="D9" s="428">
        <v>14500</v>
      </c>
      <c r="E9" s="432">
        <f t="shared" si="0"/>
        <v>334</v>
      </c>
      <c r="F9" s="433">
        <v>0.1</v>
      </c>
      <c r="G9" s="428">
        <f t="shared" si="1"/>
        <v>1326.8493150684933</v>
      </c>
    </row>
    <row r="10" spans="1:11" s="405" customFormat="1">
      <c r="B10" s="431">
        <v>43646</v>
      </c>
      <c r="C10" s="434">
        <v>43324</v>
      </c>
      <c r="D10" s="428">
        <v>74000</v>
      </c>
      <c r="E10" s="432">
        <f t="shared" si="0"/>
        <v>322</v>
      </c>
      <c r="F10" s="433">
        <v>0.1</v>
      </c>
      <c r="G10" s="428">
        <f t="shared" si="1"/>
        <v>6528.2191780821922</v>
      </c>
    </row>
    <row r="11" spans="1:11" s="405" customFormat="1">
      <c r="B11" s="431">
        <v>43646</v>
      </c>
      <c r="C11" s="434">
        <v>43342</v>
      </c>
      <c r="D11" s="428">
        <v>8915</v>
      </c>
      <c r="E11" s="432">
        <f t="shared" si="0"/>
        <v>304</v>
      </c>
      <c r="F11" s="433">
        <v>0.1</v>
      </c>
      <c r="G11" s="428">
        <f t="shared" si="1"/>
        <v>742.50958904109598</v>
      </c>
    </row>
    <row r="12" spans="1:11" s="405" customFormat="1">
      <c r="B12" s="431">
        <v>43646</v>
      </c>
      <c r="C12" s="434">
        <v>43342</v>
      </c>
      <c r="D12" s="428">
        <v>12500</v>
      </c>
      <c r="E12" s="432">
        <f t="shared" si="0"/>
        <v>304</v>
      </c>
      <c r="F12" s="433">
        <v>0.1</v>
      </c>
      <c r="G12" s="428">
        <f t="shared" si="1"/>
        <v>1041.0958904109591</v>
      </c>
    </row>
    <row r="13" spans="1:11" s="405" customFormat="1">
      <c r="B13" s="431">
        <v>43646</v>
      </c>
      <c r="C13" s="434">
        <v>43342</v>
      </c>
      <c r="D13" s="436">
        <v>53500</v>
      </c>
      <c r="E13" s="432">
        <f t="shared" si="0"/>
        <v>304</v>
      </c>
      <c r="F13" s="433">
        <v>0.1</v>
      </c>
      <c r="G13" s="428">
        <f t="shared" si="1"/>
        <v>4455.8904109589048</v>
      </c>
    </row>
    <row r="14" spans="1:11" s="405" customFormat="1">
      <c r="B14" s="431">
        <v>43646</v>
      </c>
      <c r="C14" s="434">
        <v>43373</v>
      </c>
      <c r="D14" s="436">
        <v>18233</v>
      </c>
      <c r="E14" s="432">
        <f t="shared" si="0"/>
        <v>273</v>
      </c>
      <c r="F14" s="433">
        <v>0.1</v>
      </c>
      <c r="G14" s="428">
        <f t="shared" si="1"/>
        <v>1363.7284931506849</v>
      </c>
    </row>
    <row r="15" spans="1:11" s="405" customFormat="1">
      <c r="B15" s="431">
        <v>43646</v>
      </c>
      <c r="C15" s="434">
        <v>43373</v>
      </c>
      <c r="D15" s="436">
        <v>79774</v>
      </c>
      <c r="E15" s="432">
        <f t="shared" si="0"/>
        <v>273</v>
      </c>
      <c r="F15" s="433">
        <v>0.1</v>
      </c>
      <c r="G15" s="428">
        <f t="shared" si="1"/>
        <v>5966.6580821917814</v>
      </c>
    </row>
    <row r="16" spans="1:11" s="405" customFormat="1">
      <c r="B16" s="431">
        <v>43646</v>
      </c>
      <c r="C16" s="434">
        <v>43373</v>
      </c>
      <c r="D16" s="436">
        <v>19950</v>
      </c>
      <c r="E16" s="432">
        <f>B16-C16</f>
        <v>273</v>
      </c>
      <c r="F16" s="433">
        <v>0.1</v>
      </c>
      <c r="G16" s="428">
        <f>D16*E16/365*F16</f>
        <v>1492.1506849315069</v>
      </c>
      <c r="K16" s="456"/>
    </row>
    <row r="17" spans="2:7" s="405" customFormat="1">
      <c r="B17" s="431">
        <v>43646</v>
      </c>
      <c r="C17" s="434">
        <v>43373</v>
      </c>
      <c r="D17" s="436">
        <v>30560</v>
      </c>
      <c r="E17" s="432">
        <f>B17-C17</f>
        <v>273</v>
      </c>
      <c r="F17" s="433">
        <v>0.1</v>
      </c>
      <c r="G17" s="428">
        <f>D17*E17/365*F17</f>
        <v>2285.7205479452055</v>
      </c>
    </row>
    <row r="18" spans="2:7" s="405" customFormat="1">
      <c r="B18" s="431">
        <v>43646</v>
      </c>
      <c r="C18" s="434">
        <v>43373</v>
      </c>
      <c r="D18" s="436">
        <v>2835</v>
      </c>
      <c r="E18" s="432">
        <f>B18-C18</f>
        <v>273</v>
      </c>
      <c r="F18" s="433">
        <v>0.1</v>
      </c>
      <c r="G18" s="428">
        <f>D18*E18/365*F18</f>
        <v>212.04246575342469</v>
      </c>
    </row>
    <row r="19" spans="2:7" s="405" customFormat="1">
      <c r="B19" s="431">
        <v>43646</v>
      </c>
      <c r="C19" s="435">
        <v>43401</v>
      </c>
      <c r="D19" s="436">
        <v>15750</v>
      </c>
      <c r="E19" s="432">
        <f t="shared" ref="E19:E29" si="2">B19-C19</f>
        <v>245</v>
      </c>
      <c r="F19" s="433">
        <v>0.1</v>
      </c>
      <c r="G19" s="428">
        <f t="shared" ref="G19:G45" si="3">D19*E19/365*F19</f>
        <v>1057.1917808219177</v>
      </c>
    </row>
    <row r="20" spans="2:7" s="405" customFormat="1">
      <c r="B20" s="431">
        <v>43646</v>
      </c>
      <c r="C20" s="435">
        <v>43404</v>
      </c>
      <c r="D20" s="436">
        <v>77500</v>
      </c>
      <c r="E20" s="432">
        <f t="shared" si="2"/>
        <v>242</v>
      </c>
      <c r="F20" s="433">
        <v>0.1</v>
      </c>
      <c r="G20" s="428">
        <f t="shared" si="3"/>
        <v>5138.3561643835619</v>
      </c>
    </row>
    <row r="21" spans="2:7" s="405" customFormat="1">
      <c r="B21" s="431">
        <v>43646</v>
      </c>
      <c r="C21" s="435">
        <v>43418</v>
      </c>
      <c r="D21" s="436">
        <v>462000</v>
      </c>
      <c r="E21" s="432">
        <f t="shared" si="2"/>
        <v>228</v>
      </c>
      <c r="F21" s="433">
        <v>0.1</v>
      </c>
      <c r="G21" s="428">
        <f t="shared" si="3"/>
        <v>28859.178082191782</v>
      </c>
    </row>
    <row r="22" spans="2:7" s="405" customFormat="1">
      <c r="B22" s="431">
        <v>43646</v>
      </c>
      <c r="C22" s="435">
        <v>43433</v>
      </c>
      <c r="D22" s="436">
        <f>204645-13275</f>
        <v>191370</v>
      </c>
      <c r="E22" s="432">
        <f t="shared" si="2"/>
        <v>213</v>
      </c>
      <c r="F22" s="433">
        <v>0.1</v>
      </c>
      <c r="G22" s="428">
        <f t="shared" si="3"/>
        <v>11167.619178082192</v>
      </c>
    </row>
    <row r="23" spans="2:7" s="405" customFormat="1">
      <c r="B23" s="431">
        <v>43646</v>
      </c>
      <c r="C23" s="435">
        <v>43433</v>
      </c>
      <c r="D23" s="436">
        <v>21441</v>
      </c>
      <c r="E23" s="432">
        <f t="shared" si="2"/>
        <v>213</v>
      </c>
      <c r="F23" s="433">
        <v>0.1</v>
      </c>
      <c r="G23" s="428">
        <f t="shared" si="3"/>
        <v>1251.2145205479453</v>
      </c>
    </row>
    <row r="24" spans="2:7" s="405" customFormat="1">
      <c r="B24" s="431">
        <v>43646</v>
      </c>
      <c r="C24" s="435">
        <v>43433</v>
      </c>
      <c r="D24" s="436">
        <v>10000</v>
      </c>
      <c r="E24" s="432">
        <f t="shared" si="2"/>
        <v>213</v>
      </c>
      <c r="F24" s="433">
        <v>0.1</v>
      </c>
      <c r="G24" s="428">
        <f t="shared" si="3"/>
        <v>583.56164383561645</v>
      </c>
    </row>
    <row r="25" spans="2:7" s="405" customFormat="1">
      <c r="B25" s="431">
        <v>43646</v>
      </c>
      <c r="C25" s="435">
        <v>43439</v>
      </c>
      <c r="D25" s="436">
        <v>498330</v>
      </c>
      <c r="E25" s="432">
        <f t="shared" si="2"/>
        <v>207</v>
      </c>
      <c r="F25" s="433">
        <v>0.1</v>
      </c>
      <c r="G25" s="428">
        <f t="shared" si="3"/>
        <v>28261.454794520549</v>
      </c>
    </row>
    <row r="26" spans="2:7" s="405" customFormat="1">
      <c r="B26" s="431">
        <v>43646</v>
      </c>
      <c r="C26" s="435">
        <v>43447</v>
      </c>
      <c r="D26" s="436">
        <f>44940-840</f>
        <v>44100</v>
      </c>
      <c r="E26" s="432">
        <f t="shared" ref="E26:E45" si="4">B26-C26</f>
        <v>199</v>
      </c>
      <c r="F26" s="433">
        <v>0.1</v>
      </c>
      <c r="G26" s="428">
        <f t="shared" ref="G26:G44" si="5">D26*E26/365*F26</f>
        <v>2404.3561643835615</v>
      </c>
    </row>
    <row r="27" spans="2:7" s="405" customFormat="1">
      <c r="B27" s="431">
        <v>43646</v>
      </c>
      <c r="C27" s="431">
        <v>43496</v>
      </c>
      <c r="D27" s="436">
        <v>157710</v>
      </c>
      <c r="E27" s="432">
        <f t="shared" si="2"/>
        <v>150</v>
      </c>
      <c r="F27" s="433">
        <v>0.1</v>
      </c>
      <c r="G27" s="428">
        <f t="shared" si="3"/>
        <v>6481.232876712329</v>
      </c>
    </row>
    <row r="28" spans="2:7" s="405" customFormat="1">
      <c r="B28" s="431">
        <v>43646</v>
      </c>
      <c r="C28" s="431">
        <v>43496</v>
      </c>
      <c r="D28" s="436">
        <v>5775</v>
      </c>
      <c r="E28" s="432">
        <f t="shared" si="4"/>
        <v>150</v>
      </c>
      <c r="F28" s="433">
        <v>0.1</v>
      </c>
      <c r="G28" s="428">
        <f t="shared" si="5"/>
        <v>237.32876712328766</v>
      </c>
    </row>
    <row r="29" spans="2:7" s="405" customFormat="1">
      <c r="B29" s="431">
        <v>43646</v>
      </c>
      <c r="C29" s="431">
        <v>43522</v>
      </c>
      <c r="D29" s="436">
        <v>62000</v>
      </c>
      <c r="E29" s="432">
        <f t="shared" si="2"/>
        <v>124</v>
      </c>
      <c r="F29" s="433">
        <v>0.1</v>
      </c>
      <c r="G29" s="428">
        <f t="shared" si="3"/>
        <v>2106.3013698630139</v>
      </c>
    </row>
    <row r="30" spans="2:7" s="405" customFormat="1">
      <c r="B30" s="431">
        <v>43646</v>
      </c>
      <c r="C30" s="431">
        <v>43523</v>
      </c>
      <c r="D30" s="436">
        <v>17935</v>
      </c>
      <c r="E30" s="432">
        <f t="shared" si="4"/>
        <v>123</v>
      </c>
      <c r="F30" s="433">
        <v>0.1</v>
      </c>
      <c r="G30" s="428">
        <f t="shared" si="5"/>
        <v>604.3849315068494</v>
      </c>
    </row>
    <row r="31" spans="2:7" s="405" customFormat="1">
      <c r="B31" s="431">
        <v>43646</v>
      </c>
      <c r="C31" s="431">
        <v>43525</v>
      </c>
      <c r="D31" s="436">
        <v>224700</v>
      </c>
      <c r="E31" s="432">
        <f t="shared" si="4"/>
        <v>121</v>
      </c>
      <c r="F31" s="433">
        <v>0.1</v>
      </c>
      <c r="G31" s="428">
        <f t="shared" si="3"/>
        <v>7448.9589041095896</v>
      </c>
    </row>
    <row r="32" spans="2:7" s="405" customFormat="1">
      <c r="B32" s="431">
        <v>43646</v>
      </c>
      <c r="C32" s="431">
        <v>43555</v>
      </c>
      <c r="D32" s="436">
        <f>281715</f>
        <v>281715</v>
      </c>
      <c r="E32" s="432">
        <f t="shared" si="4"/>
        <v>91</v>
      </c>
      <c r="F32" s="433">
        <v>0.1</v>
      </c>
      <c r="G32" s="428">
        <f t="shared" si="5"/>
        <v>7023.5794520547952</v>
      </c>
    </row>
    <row r="33" spans="2:12" s="405" customFormat="1">
      <c r="B33" s="431">
        <v>43646</v>
      </c>
      <c r="C33" s="431">
        <v>43585</v>
      </c>
      <c r="D33" s="436">
        <v>430500</v>
      </c>
      <c r="E33" s="432">
        <f t="shared" si="4"/>
        <v>61</v>
      </c>
      <c r="F33" s="433">
        <v>0.1</v>
      </c>
      <c r="G33" s="428">
        <f t="shared" si="3"/>
        <v>7194.6575342465767</v>
      </c>
    </row>
    <row r="34" spans="2:12" s="405" customFormat="1">
      <c r="B34" s="431">
        <v>43646</v>
      </c>
      <c r="C34" s="431">
        <v>43585</v>
      </c>
      <c r="D34" s="436">
        <v>7716</v>
      </c>
      <c r="E34" s="432">
        <f t="shared" si="4"/>
        <v>61</v>
      </c>
      <c r="F34" s="433">
        <v>0.1</v>
      </c>
      <c r="G34" s="428">
        <f t="shared" si="5"/>
        <v>128.95232876712328</v>
      </c>
    </row>
    <row r="35" spans="2:12" s="405" customFormat="1">
      <c r="B35" s="431">
        <v>43646</v>
      </c>
      <c r="C35" s="431">
        <v>43585</v>
      </c>
      <c r="D35" s="436">
        <v>225000</v>
      </c>
      <c r="E35" s="432">
        <f t="shared" si="4"/>
        <v>61</v>
      </c>
      <c r="F35" s="433">
        <v>0.1</v>
      </c>
      <c r="G35" s="428">
        <f t="shared" si="3"/>
        <v>3760.2739726027394</v>
      </c>
    </row>
    <row r="36" spans="2:12" s="405" customFormat="1">
      <c r="B36" s="431">
        <v>43646</v>
      </c>
      <c r="C36" s="431">
        <v>43616</v>
      </c>
      <c r="D36" s="436">
        <v>42000</v>
      </c>
      <c r="E36" s="432">
        <f t="shared" si="4"/>
        <v>30</v>
      </c>
      <c r="F36" s="433">
        <v>0.1</v>
      </c>
      <c r="G36" s="428">
        <f t="shared" si="5"/>
        <v>345.20547945205482</v>
      </c>
    </row>
    <row r="37" spans="2:12" s="405" customFormat="1">
      <c r="B37" s="431">
        <v>43646</v>
      </c>
      <c r="C37" s="431">
        <v>43616</v>
      </c>
      <c r="D37" s="436">
        <v>8925</v>
      </c>
      <c r="E37" s="432">
        <f t="shared" si="4"/>
        <v>30</v>
      </c>
      <c r="F37" s="433">
        <v>0.1</v>
      </c>
      <c r="G37" s="428">
        <f t="shared" si="3"/>
        <v>73.356164383561648</v>
      </c>
    </row>
    <row r="38" spans="2:12" s="405" customFormat="1">
      <c r="B38" s="431">
        <v>43646</v>
      </c>
      <c r="C38" s="431">
        <v>43616</v>
      </c>
      <c r="D38" s="436">
        <v>366520</v>
      </c>
      <c r="E38" s="432">
        <f t="shared" si="4"/>
        <v>30</v>
      </c>
      <c r="F38" s="433">
        <v>0.1</v>
      </c>
      <c r="G38" s="428">
        <f t="shared" si="5"/>
        <v>3012.4931506849316</v>
      </c>
    </row>
    <row r="39" spans="2:12" s="405" customFormat="1">
      <c r="B39" s="431">
        <v>43646</v>
      </c>
      <c r="C39" s="431">
        <v>43616</v>
      </c>
      <c r="D39" s="436">
        <v>5775</v>
      </c>
      <c r="E39" s="432">
        <f t="shared" si="4"/>
        <v>30</v>
      </c>
      <c r="F39" s="433">
        <v>0.1</v>
      </c>
      <c r="G39" s="428">
        <f t="shared" si="3"/>
        <v>47.465753424657535</v>
      </c>
    </row>
    <row r="40" spans="2:12" s="405" customFormat="1">
      <c r="B40" s="431">
        <v>43646</v>
      </c>
      <c r="C40" s="431">
        <v>43636</v>
      </c>
      <c r="D40" s="436">
        <v>14300</v>
      </c>
      <c r="E40" s="432">
        <f t="shared" si="4"/>
        <v>10</v>
      </c>
      <c r="F40" s="433">
        <v>0.1</v>
      </c>
      <c r="G40" s="428">
        <f t="shared" si="5"/>
        <v>39.178082191780824</v>
      </c>
      <c r="K40" s="405">
        <f>3751924</f>
        <v>3751924</v>
      </c>
    </row>
    <row r="41" spans="2:12" s="405" customFormat="1">
      <c r="B41" s="431">
        <v>43646</v>
      </c>
      <c r="C41" s="431">
        <v>43636</v>
      </c>
      <c r="D41" s="436">
        <v>12840</v>
      </c>
      <c r="E41" s="432">
        <f t="shared" si="4"/>
        <v>10</v>
      </c>
      <c r="F41" s="433">
        <v>0.1</v>
      </c>
      <c r="G41" s="428">
        <f t="shared" si="3"/>
        <v>35.178082191780824</v>
      </c>
      <c r="K41" s="463">
        <f>K40-D47</f>
        <v>14115</v>
      </c>
    </row>
    <row r="42" spans="2:12" s="405" customFormat="1">
      <c r="B42" s="431">
        <v>43646</v>
      </c>
      <c r="C42" s="431">
        <v>43642</v>
      </c>
      <c r="D42" s="436">
        <v>21980</v>
      </c>
      <c r="E42" s="432">
        <f t="shared" si="4"/>
        <v>4</v>
      </c>
      <c r="F42" s="433">
        <v>0.1</v>
      </c>
      <c r="G42" s="428">
        <f t="shared" si="5"/>
        <v>24.087671232876716</v>
      </c>
    </row>
    <row r="43" spans="2:12" s="405" customFormat="1">
      <c r="B43" s="431">
        <v>43646</v>
      </c>
      <c r="C43" s="431">
        <v>43646</v>
      </c>
      <c r="D43" s="436">
        <v>58170</v>
      </c>
      <c r="E43" s="432">
        <f t="shared" si="4"/>
        <v>0</v>
      </c>
      <c r="F43" s="433">
        <v>0.1</v>
      </c>
      <c r="G43" s="428">
        <f t="shared" si="3"/>
        <v>0</v>
      </c>
    </row>
    <row r="44" spans="2:12" s="405" customFormat="1">
      <c r="B44" s="431">
        <v>43646</v>
      </c>
      <c r="C44" s="431">
        <v>43646</v>
      </c>
      <c r="D44" s="436">
        <v>40215</v>
      </c>
      <c r="E44" s="432">
        <f t="shared" si="4"/>
        <v>0</v>
      </c>
      <c r="F44" s="433">
        <v>0.1</v>
      </c>
      <c r="G44" s="428">
        <f t="shared" si="5"/>
        <v>0</v>
      </c>
    </row>
    <row r="45" spans="2:12" s="405" customFormat="1">
      <c r="B45" s="431">
        <v>43646</v>
      </c>
      <c r="C45" s="431">
        <v>43646</v>
      </c>
      <c r="D45" s="436">
        <v>33000</v>
      </c>
      <c r="E45" s="432">
        <f t="shared" si="4"/>
        <v>0</v>
      </c>
      <c r="F45" s="433">
        <v>0.1</v>
      </c>
      <c r="G45" s="428">
        <f t="shared" si="3"/>
        <v>0</v>
      </c>
    </row>
    <row r="46" spans="2:12" s="405" customFormat="1">
      <c r="B46" s="431"/>
      <c r="C46" s="435"/>
      <c r="D46" s="436"/>
      <c r="E46" s="432"/>
      <c r="F46" s="433"/>
      <c r="G46" s="428"/>
      <c r="J46" s="463">
        <v>4277972</v>
      </c>
    </row>
    <row r="47" spans="2:12" s="405" customFormat="1">
      <c r="B47" s="808" t="s">
        <v>977</v>
      </c>
      <c r="C47" s="808"/>
      <c r="D47" s="428">
        <f>SUM(D7:D45)</f>
        <v>3737809</v>
      </c>
      <c r="E47" s="432"/>
      <c r="F47" s="433"/>
      <c r="G47" s="428">
        <f>SUM(G7:G46)</f>
        <v>151206.96575342468</v>
      </c>
    </row>
    <row r="48" spans="2:12" s="440" customFormat="1">
      <c r="B48" s="437"/>
      <c r="C48" s="437"/>
      <c r="D48" s="403"/>
      <c r="E48" s="438"/>
      <c r="F48" s="439"/>
      <c r="G48" s="403"/>
      <c r="L48" s="403">
        <f>D47-2484983</f>
        <v>1252826</v>
      </c>
    </row>
    <row r="49" spans="2:11" s="440" customFormat="1">
      <c r="B49" s="437"/>
      <c r="C49" s="437"/>
      <c r="D49" s="403"/>
      <c r="E49" s="438"/>
      <c r="F49" s="439"/>
      <c r="G49" s="403"/>
    </row>
    <row r="50" spans="2:11" s="440" customFormat="1">
      <c r="B50" s="458" t="s">
        <v>1057</v>
      </c>
      <c r="C50" s="437"/>
      <c r="D50" s="403"/>
      <c r="E50" s="438"/>
      <c r="F50" s="439"/>
      <c r="G50" s="403"/>
    </row>
    <row r="51" spans="2:11" s="405" customFormat="1">
      <c r="B51" s="808" t="s">
        <v>978</v>
      </c>
      <c r="C51" s="808"/>
      <c r="D51" s="808"/>
      <c r="E51" s="808"/>
      <c r="F51" s="808"/>
      <c r="G51" s="808"/>
    </row>
    <row r="52" spans="2:11" s="405" customFormat="1" ht="30">
      <c r="B52" s="430" t="s">
        <v>972</v>
      </c>
      <c r="C52" s="430" t="s">
        <v>973</v>
      </c>
      <c r="D52" s="430" t="s">
        <v>974</v>
      </c>
      <c r="E52" s="430" t="s">
        <v>975</v>
      </c>
      <c r="F52" s="430" t="s">
        <v>142</v>
      </c>
      <c r="G52" s="430" t="s">
        <v>976</v>
      </c>
      <c r="J52" s="405">
        <f>2484983-14115</f>
        <v>2470868</v>
      </c>
    </row>
    <row r="53" spans="2:11" s="405" customFormat="1">
      <c r="B53" s="431">
        <v>43646</v>
      </c>
      <c r="C53" s="431">
        <v>43373</v>
      </c>
      <c r="D53" s="436">
        <v>32025</v>
      </c>
      <c r="E53" s="432">
        <f>B53-C53</f>
        <v>273</v>
      </c>
      <c r="G53" s="428">
        <f>D53*E53/365*F74</f>
        <v>2395.2945205479455</v>
      </c>
      <c r="K53" s="405">
        <v>13275</v>
      </c>
    </row>
    <row r="54" spans="2:11" s="405" customFormat="1">
      <c r="B54" s="431">
        <v>43646</v>
      </c>
      <c r="C54" s="431">
        <v>43373</v>
      </c>
      <c r="D54" s="428">
        <v>17000</v>
      </c>
      <c r="E54" s="432">
        <f>B54-C54</f>
        <v>273</v>
      </c>
      <c r="F54" s="433">
        <v>0.1</v>
      </c>
      <c r="G54" s="428">
        <f>D54*E54/365*F54</f>
        <v>1271.5068493150686</v>
      </c>
      <c r="K54" s="405">
        <v>840</v>
      </c>
    </row>
    <row r="55" spans="2:11" s="405" customFormat="1">
      <c r="B55" s="431">
        <v>43646</v>
      </c>
      <c r="C55" s="435">
        <v>43404</v>
      </c>
      <c r="D55" s="428">
        <v>8500</v>
      </c>
      <c r="E55" s="432">
        <f>B55-C55</f>
        <v>242</v>
      </c>
      <c r="F55" s="433">
        <v>0.1</v>
      </c>
      <c r="G55" s="428">
        <f>D55*E55/365*F55</f>
        <v>563.56164383561645</v>
      </c>
      <c r="K55" s="405">
        <f>SUM(K53:K54)</f>
        <v>14115</v>
      </c>
    </row>
    <row r="56" spans="2:11" s="405" customFormat="1">
      <c r="B56" s="431">
        <v>43646</v>
      </c>
      <c r="C56" s="435">
        <v>43404</v>
      </c>
      <c r="D56" s="428">
        <v>34775</v>
      </c>
      <c r="E56" s="432">
        <f t="shared" ref="E56:E65" si="6">B56-C56</f>
        <v>242</v>
      </c>
      <c r="F56" s="433">
        <v>0.1</v>
      </c>
      <c r="G56" s="428">
        <f t="shared" ref="G56:G65" si="7">D56*E56/365*F56</f>
        <v>2305.6301369863013</v>
      </c>
    </row>
    <row r="57" spans="2:11" s="405" customFormat="1">
      <c r="B57" s="431">
        <v>43646</v>
      </c>
      <c r="C57" s="431">
        <v>43465</v>
      </c>
      <c r="D57" s="428">
        <v>2418176</v>
      </c>
      <c r="E57" s="432">
        <f t="shared" si="6"/>
        <v>181</v>
      </c>
      <c r="F57" s="433">
        <v>0.1</v>
      </c>
      <c r="G57" s="428">
        <f t="shared" si="7"/>
        <v>119915.0290410959</v>
      </c>
    </row>
    <row r="58" spans="2:11" s="405" customFormat="1">
      <c r="B58" s="431">
        <v>43646</v>
      </c>
      <c r="C58" s="431">
        <v>43465</v>
      </c>
      <c r="D58" s="428">
        <v>46463</v>
      </c>
      <c r="E58" s="432">
        <f t="shared" si="6"/>
        <v>181</v>
      </c>
      <c r="F58" s="433">
        <v>0.1</v>
      </c>
      <c r="G58" s="428">
        <f t="shared" si="7"/>
        <v>2304.0556164383561</v>
      </c>
    </row>
    <row r="59" spans="2:11" s="405" customFormat="1">
      <c r="B59" s="431">
        <v>43646</v>
      </c>
      <c r="C59" s="431">
        <v>43496</v>
      </c>
      <c r="D59" s="428">
        <v>27339</v>
      </c>
      <c r="E59" s="432">
        <f t="shared" si="6"/>
        <v>150</v>
      </c>
      <c r="F59" s="433">
        <v>0.1</v>
      </c>
      <c r="G59" s="428">
        <f t="shared" si="7"/>
        <v>1123.5205479452056</v>
      </c>
    </row>
    <row r="60" spans="2:11" s="405" customFormat="1">
      <c r="B60" s="431">
        <v>43646</v>
      </c>
      <c r="C60" s="431">
        <v>43555</v>
      </c>
      <c r="D60" s="428">
        <v>19500</v>
      </c>
      <c r="E60" s="432">
        <f t="shared" si="6"/>
        <v>91</v>
      </c>
      <c r="F60" s="433">
        <v>0.1</v>
      </c>
      <c r="G60" s="428">
        <f t="shared" si="7"/>
        <v>486.16438356164383</v>
      </c>
    </row>
    <row r="61" spans="2:11" s="405" customFormat="1">
      <c r="B61" s="431">
        <v>43646</v>
      </c>
      <c r="C61" s="431">
        <v>43615</v>
      </c>
      <c r="D61" s="428">
        <v>94605</v>
      </c>
      <c r="E61" s="432">
        <f t="shared" si="6"/>
        <v>31</v>
      </c>
      <c r="F61" s="433">
        <v>0.1</v>
      </c>
      <c r="G61" s="428">
        <f t="shared" si="7"/>
        <v>803.49452054794529</v>
      </c>
    </row>
    <row r="62" spans="2:11" s="405" customFormat="1">
      <c r="B62" s="431">
        <v>43646</v>
      </c>
      <c r="C62" s="431">
        <v>43615</v>
      </c>
      <c r="D62" s="428">
        <v>100035</v>
      </c>
      <c r="E62" s="432">
        <f t="shared" si="6"/>
        <v>31</v>
      </c>
      <c r="F62" s="433">
        <v>0.1</v>
      </c>
      <c r="G62" s="428">
        <f t="shared" si="7"/>
        <v>849.61232876712336</v>
      </c>
    </row>
    <row r="63" spans="2:11" s="405" customFormat="1">
      <c r="B63" s="431">
        <v>43646</v>
      </c>
      <c r="C63" s="431">
        <v>43636</v>
      </c>
      <c r="D63" s="428">
        <v>15515</v>
      </c>
      <c r="E63" s="432">
        <f t="shared" si="6"/>
        <v>10</v>
      </c>
      <c r="F63" s="433">
        <v>0.1</v>
      </c>
      <c r="G63" s="428">
        <f t="shared" si="7"/>
        <v>42.5068493150685</v>
      </c>
    </row>
    <row r="64" spans="2:11" s="405" customFormat="1">
      <c r="B64" s="431">
        <v>43646</v>
      </c>
      <c r="C64" s="431">
        <v>43646</v>
      </c>
      <c r="D64" s="428">
        <v>125672</v>
      </c>
      <c r="E64" s="432">
        <f t="shared" si="6"/>
        <v>0</v>
      </c>
      <c r="F64" s="433">
        <v>0.1</v>
      </c>
      <c r="G64" s="428">
        <f t="shared" si="7"/>
        <v>0</v>
      </c>
    </row>
    <row r="65" spans="2:7" s="405" customFormat="1">
      <c r="B65" s="431">
        <v>43646</v>
      </c>
      <c r="C65" s="431">
        <v>43646</v>
      </c>
      <c r="D65" s="428">
        <v>56805</v>
      </c>
      <c r="E65" s="432">
        <f t="shared" si="6"/>
        <v>0</v>
      </c>
      <c r="F65" s="433">
        <v>0.1</v>
      </c>
      <c r="G65" s="428">
        <f t="shared" si="7"/>
        <v>0</v>
      </c>
    </row>
    <row r="66" spans="2:7">
      <c r="B66" s="808" t="s">
        <v>977</v>
      </c>
      <c r="C66" s="808"/>
      <c r="D66" s="428">
        <f>SUM(D53:D65)</f>
        <v>2996410</v>
      </c>
      <c r="E66" s="429"/>
      <c r="F66" s="429"/>
      <c r="G66" s="428">
        <f>SUM(G53:G65)</f>
        <v>132060.37643835618</v>
      </c>
    </row>
    <row r="68" spans="2:7">
      <c r="B68" s="110" t="s">
        <v>1056</v>
      </c>
      <c r="D68" s="5">
        <f>D66+D47</f>
        <v>6734219</v>
      </c>
      <c r="G68" s="5">
        <f>G47+G66</f>
        <v>283267.34219178086</v>
      </c>
    </row>
    <row r="72" spans="2:7">
      <c r="B72" s="808" t="s">
        <v>979</v>
      </c>
      <c r="C72" s="808"/>
      <c r="D72" s="808"/>
      <c r="E72" s="808"/>
      <c r="F72" s="808"/>
      <c r="G72" s="808"/>
    </row>
    <row r="73" spans="2:7" ht="30">
      <c r="B73" s="430" t="s">
        <v>972</v>
      </c>
      <c r="C73" s="430" t="s">
        <v>973</v>
      </c>
      <c r="D73" s="430" t="s">
        <v>974</v>
      </c>
      <c r="E73" s="430" t="s">
        <v>975</v>
      </c>
      <c r="F73" s="430" t="s">
        <v>142</v>
      </c>
      <c r="G73" s="430" t="s">
        <v>976</v>
      </c>
    </row>
    <row r="74" spans="2:7">
      <c r="B74" s="431">
        <v>43646</v>
      </c>
      <c r="C74" s="434">
        <v>43423</v>
      </c>
      <c r="D74" s="428">
        <v>37128</v>
      </c>
      <c r="E74" s="432">
        <f>B74-C74</f>
        <v>223</v>
      </c>
      <c r="F74" s="433">
        <v>0.1</v>
      </c>
      <c r="G74" s="428">
        <f>D74*E74/365*F74</f>
        <v>2268.3682191780822</v>
      </c>
    </row>
    <row r="75" spans="2:7">
      <c r="B75" s="431">
        <v>43646</v>
      </c>
      <c r="C75" s="431">
        <v>43465</v>
      </c>
      <c r="D75" s="428">
        <v>30310</v>
      </c>
      <c r="E75" s="432">
        <f>B75-C75</f>
        <v>181</v>
      </c>
      <c r="F75" s="433">
        <v>0.1</v>
      </c>
      <c r="G75" s="428">
        <f>D75*E75/365*F75</f>
        <v>1503.0438356164386</v>
      </c>
    </row>
    <row r="76" spans="2:7">
      <c r="B76" s="431">
        <v>43646</v>
      </c>
      <c r="C76" s="431">
        <v>43482</v>
      </c>
      <c r="D76" s="428">
        <v>412440</v>
      </c>
      <c r="E76" s="432">
        <f>B76-C76</f>
        <v>164</v>
      </c>
      <c r="F76" s="433">
        <v>0.1</v>
      </c>
      <c r="G76" s="428">
        <f>D76*E76/365*F76</f>
        <v>18531.55068493151</v>
      </c>
    </row>
    <row r="77" spans="2:7">
      <c r="B77" s="808" t="s">
        <v>977</v>
      </c>
      <c r="C77" s="808"/>
      <c r="D77" s="428">
        <f>SUM(D74:D76)</f>
        <v>479878</v>
      </c>
      <c r="E77" s="432"/>
      <c r="F77" s="433"/>
      <c r="G77" s="428">
        <f>SUM(G74:G76)</f>
        <v>22302.96273972603</v>
      </c>
    </row>
    <row r="78" spans="2:7">
      <c r="B78" s="437"/>
      <c r="C78" s="437"/>
      <c r="D78" s="403"/>
      <c r="E78" s="438"/>
      <c r="F78" s="439"/>
      <c r="G78" s="403"/>
    </row>
    <row r="79" spans="2:7">
      <c r="B79" s="437"/>
      <c r="C79" s="437"/>
      <c r="D79" s="403"/>
      <c r="E79" s="438"/>
      <c r="F79" s="439"/>
      <c r="G79" s="403"/>
    </row>
    <row r="80" spans="2:7">
      <c r="B80" s="808" t="s">
        <v>1121</v>
      </c>
      <c r="C80" s="808"/>
      <c r="D80" s="808"/>
      <c r="E80" s="808"/>
      <c r="F80" s="808"/>
      <c r="G80" s="808"/>
    </row>
    <row r="81" spans="2:7" ht="30">
      <c r="B81" s="430" t="s">
        <v>972</v>
      </c>
      <c r="C81" s="430" t="s">
        <v>973</v>
      </c>
      <c r="D81" s="430" t="s">
        <v>974</v>
      </c>
      <c r="E81" s="430" t="s">
        <v>975</v>
      </c>
      <c r="F81" s="430" t="s">
        <v>142</v>
      </c>
      <c r="G81" s="430" t="s">
        <v>976</v>
      </c>
    </row>
    <row r="82" spans="2:7">
      <c r="B82" s="431">
        <v>43646</v>
      </c>
      <c r="C82" s="431">
        <v>43465</v>
      </c>
      <c r="D82" s="428">
        <v>387555</v>
      </c>
      <c r="E82" s="432">
        <f>B82-C82</f>
        <v>181</v>
      </c>
      <c r="F82" s="433">
        <v>0.05</v>
      </c>
      <c r="G82" s="428">
        <f>D82*E82/365*F82</f>
        <v>9609.2404109589042</v>
      </c>
    </row>
    <row r="83" spans="2:7">
      <c r="B83" s="808" t="s">
        <v>977</v>
      </c>
      <c r="C83" s="808"/>
      <c r="D83" s="428">
        <f>SUM(D82:D82)</f>
        <v>387555</v>
      </c>
      <c r="E83" s="432"/>
      <c r="F83" s="433"/>
      <c r="G83" s="428">
        <f>SUM(G82:G82)</f>
        <v>9609.2404109589042</v>
      </c>
    </row>
  </sheetData>
  <mergeCells count="10">
    <mergeCell ref="B80:G80"/>
    <mergeCell ref="B83:C83"/>
    <mergeCell ref="B3:G3"/>
    <mergeCell ref="B4:G4"/>
    <mergeCell ref="B5:G5"/>
    <mergeCell ref="B47:C47"/>
    <mergeCell ref="B51:G51"/>
    <mergeCell ref="B66:C66"/>
    <mergeCell ref="B72:G72"/>
    <mergeCell ref="B77:C77"/>
  </mergeCells>
  <pageMargins left="0.7" right="0.7" top="0.75" bottom="0.75" header="0.3" footer="0.3"/>
  <pageSetup scale="85" orientation="portrait" r:id="rId1"/>
</worksheet>
</file>

<file path=xl/worksheets/sheet12.xml><?xml version="1.0" encoding="utf-8"?>
<worksheet xmlns="http://schemas.openxmlformats.org/spreadsheetml/2006/main" xmlns:r="http://schemas.openxmlformats.org/officeDocument/2006/relationships">
  <dimension ref="A4:X39"/>
  <sheetViews>
    <sheetView workbookViewId="0">
      <selection activeCell="G13" sqref="G13"/>
    </sheetView>
  </sheetViews>
  <sheetFormatPr defaultRowHeight="15"/>
  <cols>
    <col min="1" max="4" width="9.140625" style="407"/>
    <col min="5" max="5" width="14.28515625" style="407" bestFit="1" customWidth="1"/>
    <col min="6" max="6" width="9.140625" style="407"/>
    <col min="7" max="7" width="15.28515625" style="407" bestFit="1" customWidth="1"/>
    <col min="8" max="8" width="15.28515625" style="407" customWidth="1"/>
    <col min="9" max="10" width="9.140625" style="407"/>
    <col min="11" max="11" width="14.28515625" style="407" bestFit="1" customWidth="1"/>
    <col min="12" max="13" width="9.140625" style="407"/>
    <col min="14" max="14" width="14.7109375" style="407" bestFit="1" customWidth="1"/>
    <col min="15" max="15" width="12.5703125" style="407" bestFit="1" customWidth="1"/>
    <col min="16" max="23" width="9.140625" style="407"/>
    <col min="24" max="24" width="13.7109375" style="407" customWidth="1"/>
    <col min="25" max="16384" width="9.140625" style="407"/>
  </cols>
  <sheetData>
    <row r="4" spans="1:24">
      <c r="A4" s="808" t="s">
        <v>1051</v>
      </c>
      <c r="B4" s="808"/>
      <c r="C4" s="808"/>
      <c r="D4" s="808"/>
      <c r="E4" s="808"/>
      <c r="F4" s="808"/>
      <c r="G4" s="808"/>
      <c r="H4" s="460"/>
    </row>
    <row r="5" spans="1:24">
      <c r="R5" s="407" t="s">
        <v>1040</v>
      </c>
    </row>
    <row r="7" spans="1:24">
      <c r="G7" s="455" t="s">
        <v>1100</v>
      </c>
      <c r="H7" s="461"/>
      <c r="N7" s="11">
        <v>139665823.46083301</v>
      </c>
      <c r="R7" s="407" t="s">
        <v>1041</v>
      </c>
      <c r="X7" s="22">
        <v>89061080.349999994</v>
      </c>
    </row>
    <row r="8" spans="1:24">
      <c r="A8" s="407" t="s">
        <v>1050</v>
      </c>
      <c r="G8" s="22">
        <f>86750988</f>
        <v>86750988</v>
      </c>
      <c r="H8" s="22"/>
      <c r="N8" s="426">
        <f>N7-O29</f>
        <v>50604743.110833019</v>
      </c>
      <c r="R8" s="407" t="s">
        <v>1042</v>
      </c>
      <c r="X8" s="22">
        <f>86750988.19/180*102</f>
        <v>49158893.307666667</v>
      </c>
    </row>
    <row r="9" spans="1:24">
      <c r="A9" s="407" t="s">
        <v>1049</v>
      </c>
      <c r="G9" s="454">
        <f>O30</f>
        <v>50604743</v>
      </c>
      <c r="H9" s="462"/>
      <c r="R9" s="407" t="s">
        <v>1043</v>
      </c>
      <c r="X9" s="443">
        <f>SUM(X7:X8)</f>
        <v>138219973.65766665</v>
      </c>
    </row>
    <row r="10" spans="1:24">
      <c r="G10" s="426">
        <f>G8-G9</f>
        <v>36146245</v>
      </c>
      <c r="H10" s="426"/>
      <c r="N10" s="407">
        <f>867</f>
        <v>867</v>
      </c>
      <c r="X10" s="22"/>
    </row>
    <row r="11" spans="1:24">
      <c r="A11" s="407" t="s">
        <v>1070</v>
      </c>
      <c r="G11" s="22">
        <v>84371593</v>
      </c>
      <c r="H11" s="22"/>
      <c r="K11" s="260">
        <f>84371593/2</f>
        <v>42185796.5</v>
      </c>
      <c r="R11" s="407" t="s">
        <v>1044</v>
      </c>
      <c r="X11" s="22">
        <f>X9/2</f>
        <v>69109986.828833327</v>
      </c>
    </row>
    <row r="12" spans="1:24">
      <c r="A12" s="442" t="s">
        <v>1190</v>
      </c>
      <c r="B12" s="442"/>
      <c r="C12" s="442"/>
      <c r="D12" s="442"/>
      <c r="E12" s="442"/>
      <c r="F12" s="442"/>
      <c r="G12" s="24">
        <f>81920817/180*105</f>
        <v>47787143.25</v>
      </c>
      <c r="H12" s="22"/>
      <c r="X12" s="22"/>
    </row>
    <row r="13" spans="1:24">
      <c r="G13" s="25">
        <f>SUM(G10:G12)</f>
        <v>168304981.25</v>
      </c>
      <c r="H13" s="25"/>
      <c r="R13" s="407" t="s">
        <v>1045</v>
      </c>
      <c r="X13" s="22">
        <f>15000000</f>
        <v>15000000</v>
      </c>
    </row>
    <row r="14" spans="1:24">
      <c r="A14" s="407" t="s">
        <v>1122</v>
      </c>
      <c r="G14" s="22">
        <v>-127799689</v>
      </c>
    </row>
    <row r="15" spans="1:24" ht="15.75" thickBot="1">
      <c r="A15" s="442" t="s">
        <v>1123</v>
      </c>
      <c r="B15" s="442"/>
      <c r="C15" s="442"/>
      <c r="D15" s="442"/>
      <c r="E15" s="442"/>
      <c r="F15" s="442"/>
      <c r="G15" s="34">
        <f>G13+G14</f>
        <v>40505292.25</v>
      </c>
    </row>
    <row r="16" spans="1:24" ht="15.75" thickTop="1"/>
    <row r="25" spans="7:24">
      <c r="O25" s="426">
        <f>G8/180*75</f>
        <v>36146245</v>
      </c>
    </row>
    <row r="27" spans="7:24">
      <c r="I27" s="407" t="s">
        <v>1040</v>
      </c>
      <c r="R27" s="407" t="s">
        <v>1046</v>
      </c>
      <c r="X27" s="453">
        <f>X11-X13</f>
        <v>54109986.828833327</v>
      </c>
    </row>
    <row r="28" spans="7:24">
      <c r="G28" s="22">
        <f>89061080</f>
        <v>89061080</v>
      </c>
    </row>
    <row r="29" spans="7:24">
      <c r="G29" s="22">
        <v>86750988</v>
      </c>
      <c r="I29" s="407" t="s">
        <v>1041</v>
      </c>
      <c r="O29" s="22">
        <v>89061080.349999994</v>
      </c>
      <c r="R29" s="407" t="s">
        <v>1047</v>
      </c>
      <c r="X29" s="22">
        <f>32000000</f>
        <v>32000000</v>
      </c>
    </row>
    <row r="30" spans="7:24">
      <c r="G30" s="22">
        <f>84371593/180*15</f>
        <v>7030966.083333333</v>
      </c>
      <c r="I30" s="407" t="s">
        <v>1042</v>
      </c>
      <c r="O30" s="22">
        <v>50604743</v>
      </c>
      <c r="R30" s="407" t="s">
        <v>1048</v>
      </c>
      <c r="X30" s="426">
        <f>X27-X29</f>
        <v>22109986.828833327</v>
      </c>
    </row>
    <row r="31" spans="7:24">
      <c r="G31" s="22">
        <f>84371593/180*90</f>
        <v>42185796.5</v>
      </c>
      <c r="I31" s="407" t="s">
        <v>1043</v>
      </c>
      <c r="O31" s="443">
        <f>SUM(O29:O30)</f>
        <v>139665823.34999999</v>
      </c>
    </row>
    <row r="32" spans="7:24">
      <c r="G32" s="426">
        <f>SUM(G28:G31)</f>
        <v>225028830.58333334</v>
      </c>
      <c r="O32" s="22"/>
    </row>
    <row r="33" spans="7:15">
      <c r="I33" s="407" t="s">
        <v>1044</v>
      </c>
      <c r="O33" s="22">
        <f>O31/2</f>
        <v>69832911.674999997</v>
      </c>
    </row>
    <row r="34" spans="7:15">
      <c r="G34" s="407">
        <f>182843035</f>
        <v>182843035</v>
      </c>
      <c r="I34" s="407" t="s">
        <v>1045</v>
      </c>
      <c r="O34" s="22">
        <f>15000000</f>
        <v>15000000</v>
      </c>
    </row>
    <row r="35" spans="7:15">
      <c r="G35" s="426">
        <f>G32-G34</f>
        <v>42185795.583333343</v>
      </c>
      <c r="N35" s="426">
        <f>86750988</f>
        <v>86750988</v>
      </c>
    </row>
    <row r="36" spans="7:15">
      <c r="I36" s="407" t="s">
        <v>1046</v>
      </c>
      <c r="N36" s="426">
        <f>N35-O30</f>
        <v>36146245</v>
      </c>
      <c r="O36" s="453">
        <f>O33-O34</f>
        <v>54832911.674999997</v>
      </c>
    </row>
    <row r="37" spans="7:15">
      <c r="G37" s="426"/>
    </row>
    <row r="38" spans="7:15">
      <c r="I38" s="407" t="s">
        <v>1047</v>
      </c>
      <c r="O38" s="22">
        <f>32000000</f>
        <v>32000000</v>
      </c>
    </row>
    <row r="39" spans="7:15">
      <c r="I39" s="407" t="s">
        <v>1048</v>
      </c>
      <c r="O39" s="426">
        <f>O36-O38</f>
        <v>22832911.674999997</v>
      </c>
    </row>
  </sheetData>
  <mergeCells count="1">
    <mergeCell ref="A4:G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R285"/>
  <sheetViews>
    <sheetView topLeftCell="A316" zoomScaleSheetLayoutView="100" workbookViewId="0">
      <selection activeCell="N12" sqref="N12"/>
    </sheetView>
  </sheetViews>
  <sheetFormatPr defaultRowHeight="15"/>
  <cols>
    <col min="1" max="1" width="6.140625" style="53" customWidth="1"/>
    <col min="2" max="2" width="12.140625" style="1" customWidth="1"/>
    <col min="3" max="3" width="27.28515625" style="1" customWidth="1"/>
    <col min="4" max="4" width="9.85546875" style="1" customWidth="1"/>
    <col min="5" max="5" width="14" style="1" bestFit="1" customWidth="1"/>
    <col min="6" max="6" width="1.42578125" style="1" customWidth="1"/>
    <col min="7" max="7" width="17.140625" style="1" customWidth="1"/>
    <col min="8" max="8" width="1.140625" style="1" customWidth="1"/>
    <col min="9" max="9" width="15.5703125" style="1" bestFit="1" customWidth="1"/>
    <col min="10" max="10" width="1.140625" style="14" customWidth="1"/>
    <col min="11" max="11" width="13.28515625" style="1" bestFit="1" customWidth="1"/>
    <col min="12" max="12" width="12" style="1" bestFit="1" customWidth="1"/>
    <col min="13" max="13" width="23.5703125" style="1" customWidth="1"/>
    <col min="14" max="14" width="15.7109375" style="1" bestFit="1" customWidth="1"/>
    <col min="15" max="15" width="1.42578125" style="1" customWidth="1"/>
    <col min="16" max="16" width="15.85546875" style="1" bestFit="1" customWidth="1"/>
    <col min="17" max="17" width="1" style="1" customWidth="1"/>
    <col min="18" max="19" width="15.7109375" style="1" bestFit="1" customWidth="1"/>
    <col min="20" max="20" width="9.140625" style="1"/>
    <col min="21" max="21" width="14" style="1" bestFit="1" customWidth="1"/>
    <col min="22" max="22" width="1.42578125" style="1" customWidth="1"/>
    <col min="23" max="23" width="15.140625" style="1" customWidth="1"/>
    <col min="24" max="24" width="1.42578125" style="1" customWidth="1"/>
    <col min="25" max="25" width="15.7109375" style="1" bestFit="1" customWidth="1"/>
    <col min="26" max="16384" width="9.140625" style="1"/>
  </cols>
  <sheetData>
    <row r="1" spans="1:18" s="110" customFormat="1">
      <c r="G1" s="808" t="s">
        <v>138</v>
      </c>
      <c r="H1" s="808"/>
      <c r="I1" s="808"/>
      <c r="J1" s="267"/>
    </row>
    <row r="2" spans="1:18" s="110" customFormat="1">
      <c r="G2" s="356" t="s">
        <v>1052</v>
      </c>
      <c r="H2" s="411"/>
      <c r="I2" s="356" t="s">
        <v>919</v>
      </c>
      <c r="J2" s="412"/>
    </row>
    <row r="3" spans="1:18" s="110" customFormat="1">
      <c r="H3" s="267"/>
      <c r="J3" s="267"/>
    </row>
    <row r="4" spans="1:18" s="110" customFormat="1">
      <c r="A4" s="366" t="s">
        <v>684</v>
      </c>
      <c r="B4" s="110" t="s">
        <v>683</v>
      </c>
      <c r="J4" s="267"/>
      <c r="N4" s="425" t="s">
        <v>949</v>
      </c>
      <c r="P4" s="425" t="s">
        <v>950</v>
      </c>
      <c r="R4" s="425" t="s">
        <v>24</v>
      </c>
    </row>
    <row r="5" spans="1:18" s="110" customFormat="1">
      <c r="A5" s="366"/>
      <c r="B5" s="367" t="s">
        <v>881</v>
      </c>
      <c r="G5" s="5">
        <v>702441396.48000002</v>
      </c>
      <c r="I5" s="5">
        <v>511368404</v>
      </c>
      <c r="J5" s="267"/>
      <c r="L5" s="5"/>
    </row>
    <row r="6" spans="1:18" s="110" customFormat="1">
      <c r="A6" s="366"/>
      <c r="B6" s="367" t="s">
        <v>882</v>
      </c>
      <c r="G6" s="254">
        <v>736420925.25</v>
      </c>
      <c r="H6" s="110">
        <v>0</v>
      </c>
      <c r="I6" s="254">
        <v>0</v>
      </c>
      <c r="J6" s="267"/>
      <c r="K6" s="110" t="s">
        <v>683</v>
      </c>
      <c r="N6" s="19">
        <f>G7</f>
        <v>1438862321.73</v>
      </c>
      <c r="P6" s="422"/>
      <c r="R6" s="19">
        <f>SUM(N6+P6)</f>
        <v>1438862321.73</v>
      </c>
    </row>
    <row r="7" spans="1:18" s="110" customFormat="1" ht="20.25" customHeight="1" thickBot="1">
      <c r="A7" s="366"/>
      <c r="B7" s="367"/>
      <c r="G7" s="150">
        <f>SUM(G5:G6)</f>
        <v>1438862321.73</v>
      </c>
      <c r="I7" s="150">
        <f>SUM(I5:I6)</f>
        <v>511368404</v>
      </c>
      <c r="J7" s="267"/>
      <c r="K7" s="110" t="s">
        <v>951</v>
      </c>
      <c r="N7" s="11">
        <f>E13+E14+E17+E19+E20</f>
        <v>20955000</v>
      </c>
      <c r="P7" s="423"/>
      <c r="R7" s="11">
        <f>SUM(N7+P7)</f>
        <v>20955000</v>
      </c>
    </row>
    <row r="8" spans="1:18" s="110" customFormat="1" ht="20.25" customHeight="1" thickTop="1">
      <c r="A8" s="366"/>
      <c r="B8" s="367"/>
      <c r="G8" s="9"/>
      <c r="I8" s="9"/>
      <c r="J8" s="267"/>
      <c r="K8" s="17" t="s">
        <v>661</v>
      </c>
      <c r="N8" s="11">
        <f>E31+E32</f>
        <v>41007025.880000003</v>
      </c>
      <c r="P8" s="11">
        <v>3582</v>
      </c>
      <c r="R8" s="11">
        <f>SUM(N8+P8)</f>
        <v>41010607.880000003</v>
      </c>
    </row>
    <row r="9" spans="1:18" s="110" customFormat="1">
      <c r="A9" s="367"/>
      <c r="B9" s="808" t="s">
        <v>738</v>
      </c>
      <c r="C9" s="808"/>
      <c r="D9" s="808"/>
      <c r="E9" s="808"/>
      <c r="F9" s="808"/>
      <c r="G9" s="808"/>
      <c r="H9" s="808"/>
      <c r="I9" s="808"/>
      <c r="J9" s="808"/>
      <c r="K9" s="17" t="s">
        <v>1126</v>
      </c>
      <c r="N9" s="11"/>
      <c r="P9" s="11"/>
      <c r="R9" s="11"/>
    </row>
    <row r="10" spans="1:18" s="110" customFormat="1">
      <c r="A10" s="367"/>
      <c r="B10" s="363"/>
      <c r="C10" s="363"/>
      <c r="D10" s="363"/>
      <c r="E10" s="363"/>
      <c r="F10" s="363"/>
      <c r="G10" s="363"/>
      <c r="H10" s="363"/>
      <c r="I10" s="363"/>
      <c r="J10" s="363"/>
      <c r="K10" s="110" t="s">
        <v>660</v>
      </c>
      <c r="N10" s="423"/>
      <c r="P10" s="11">
        <f>E25+E38</f>
        <v>457060311.06999999</v>
      </c>
      <c r="R10" s="11">
        <f>SUM(N10+P10)</f>
        <v>457060311.06999999</v>
      </c>
    </row>
    <row r="11" spans="1:18" s="110" customFormat="1">
      <c r="A11" s="366">
        <v>27</v>
      </c>
      <c r="B11" s="355" t="s">
        <v>15</v>
      </c>
      <c r="D11" s="372"/>
      <c r="E11" s="372"/>
      <c r="F11" s="372"/>
      <c r="G11" s="372"/>
      <c r="H11" s="372"/>
      <c r="I11" s="267"/>
      <c r="K11" s="110" t="s">
        <v>709</v>
      </c>
      <c r="N11" s="424"/>
      <c r="P11" s="132">
        <f>E15+E16+E18</f>
        <v>977000</v>
      </c>
      <c r="R11" s="132">
        <f>SUM(N11+P11)</f>
        <v>977000</v>
      </c>
    </row>
    <row r="12" spans="1:18" s="110" customFormat="1">
      <c r="E12" s="267"/>
      <c r="H12" s="267"/>
      <c r="I12" s="267"/>
      <c r="N12" s="5">
        <f>SUM(N6:N11)</f>
        <v>1500824347.6100001</v>
      </c>
      <c r="O12" s="5">
        <f>SUM(O6:O11)</f>
        <v>0</v>
      </c>
      <c r="P12" s="5">
        <f>SUM(P6:P11)</f>
        <v>458040893.06999999</v>
      </c>
      <c r="Q12" s="5">
        <f>SUM(Q6:Q11)</f>
        <v>0</v>
      </c>
      <c r="R12" s="5">
        <f>SUM(R6:R11)</f>
        <v>1958865240.6800001</v>
      </c>
    </row>
    <row r="13" spans="1:18" s="110" customFormat="1">
      <c r="A13" s="366"/>
      <c r="B13" s="110" t="s">
        <v>883</v>
      </c>
      <c r="C13" s="421"/>
      <c r="D13" s="421"/>
      <c r="E13" s="19">
        <f>1610000+20000+20000</f>
        <v>1650000</v>
      </c>
      <c r="F13" s="373"/>
      <c r="G13" s="19">
        <v>3060000</v>
      </c>
      <c r="H13" s="441"/>
      <c r="I13" s="267"/>
    </row>
    <row r="14" spans="1:18" s="110" customFormat="1">
      <c r="A14" s="366"/>
      <c r="B14" s="110" t="s">
        <v>884</v>
      </c>
      <c r="C14" s="421"/>
      <c r="D14" s="421"/>
      <c r="E14" s="11">
        <f>50000+8420000+9585000</f>
        <v>18055000</v>
      </c>
      <c r="F14" s="357">
        <v>0</v>
      </c>
      <c r="G14" s="11">
        <v>12475000</v>
      </c>
      <c r="H14" s="368">
        <v>0</v>
      </c>
      <c r="I14" s="267"/>
    </row>
    <row r="15" spans="1:18" s="110" customFormat="1">
      <c r="A15" s="366"/>
      <c r="B15" s="110" t="s">
        <v>709</v>
      </c>
      <c r="C15" s="421"/>
      <c r="D15" s="421"/>
      <c r="E15" s="11">
        <v>550000</v>
      </c>
      <c r="F15" s="373"/>
      <c r="G15" s="11">
        <v>220000</v>
      </c>
      <c r="H15" s="441"/>
      <c r="I15" s="267"/>
      <c r="K15" s="19">
        <f>20000+2800000+160000+60000+20000</f>
        <v>3060000</v>
      </c>
    </row>
    <row r="16" spans="1:18" s="110" customFormat="1">
      <c r="A16" s="366"/>
      <c r="B16" s="110" t="s">
        <v>779</v>
      </c>
      <c r="C16" s="421"/>
      <c r="D16" s="421"/>
      <c r="E16" s="11">
        <f>418000</f>
        <v>418000</v>
      </c>
      <c r="F16" s="373"/>
      <c r="G16" s="11">
        <v>253000</v>
      </c>
      <c r="H16" s="441"/>
      <c r="I16" s="267"/>
      <c r="K16" s="11">
        <f>5760000+6715000</f>
        <v>12475000</v>
      </c>
    </row>
    <row r="17" spans="1:11" s="110" customFormat="1">
      <c r="A17" s="366"/>
      <c r="B17" s="110" t="s">
        <v>892</v>
      </c>
      <c r="E17" s="11">
        <f>100000</f>
        <v>100000</v>
      </c>
      <c r="F17" s="373"/>
      <c r="G17" s="11">
        <v>0</v>
      </c>
      <c r="H17" s="267"/>
      <c r="I17" s="267"/>
      <c r="K17" s="11">
        <v>220000</v>
      </c>
    </row>
    <row r="18" spans="1:11" s="110" customFormat="1">
      <c r="A18" s="366"/>
      <c r="B18" s="110" t="s">
        <v>1072</v>
      </c>
      <c r="E18" s="11">
        <f>9000</f>
        <v>9000</v>
      </c>
      <c r="F18" s="373"/>
      <c r="G18" s="400">
        <v>0</v>
      </c>
      <c r="H18" s="267"/>
      <c r="I18" s="267"/>
      <c r="K18" s="11">
        <f>253000</f>
        <v>253000</v>
      </c>
    </row>
    <row r="19" spans="1:11" s="110" customFormat="1">
      <c r="A19" s="366"/>
      <c r="B19" s="110" t="s">
        <v>1071</v>
      </c>
      <c r="E19" s="11">
        <f>60000</f>
        <v>60000</v>
      </c>
      <c r="F19" s="373"/>
      <c r="G19" s="11">
        <v>615000</v>
      </c>
      <c r="H19" s="267"/>
      <c r="I19" s="267"/>
      <c r="K19" s="11">
        <v>0</v>
      </c>
    </row>
    <row r="20" spans="1:11" s="110" customFormat="1">
      <c r="B20" s="110" t="s">
        <v>948</v>
      </c>
      <c r="E20" s="132">
        <f>1090000</f>
        <v>1090000</v>
      </c>
      <c r="F20" s="267"/>
      <c r="G20" s="132">
        <v>240000</v>
      </c>
      <c r="H20" s="267"/>
      <c r="I20" s="267"/>
      <c r="K20" s="11">
        <v>240000</v>
      </c>
    </row>
    <row r="21" spans="1:11" s="110" customFormat="1" ht="15.75" thickBot="1">
      <c r="B21" s="421"/>
      <c r="C21" s="421"/>
      <c r="D21" s="421"/>
      <c r="E21" s="150">
        <f>SUM(E13:E20)</f>
        <v>21932000</v>
      </c>
      <c r="F21" s="353"/>
      <c r="G21" s="150">
        <f>SUM(G13:G20)</f>
        <v>16863000</v>
      </c>
      <c r="H21" s="441"/>
      <c r="I21" s="267"/>
      <c r="K21" s="132">
        <f>615000</f>
        <v>615000</v>
      </c>
    </row>
    <row r="22" spans="1:11" s="110" customFormat="1" ht="9" customHeight="1" thickTop="1">
      <c r="B22" s="421"/>
      <c r="C22" s="421"/>
      <c r="D22" s="421"/>
      <c r="E22" s="421"/>
      <c r="F22" s="421"/>
      <c r="G22" s="421"/>
      <c r="H22" s="441"/>
      <c r="I22" s="267"/>
    </row>
    <row r="23" spans="1:11" s="110" customFormat="1">
      <c r="B23" s="808" t="s">
        <v>529</v>
      </c>
      <c r="C23" s="808"/>
      <c r="D23" s="808"/>
      <c r="E23" s="808"/>
      <c r="F23" s="808"/>
      <c r="G23" s="808"/>
      <c r="H23" s="475"/>
      <c r="I23" s="267"/>
    </row>
    <row r="24" spans="1:11" s="110" customFormat="1">
      <c r="B24" s="421"/>
      <c r="C24" s="421"/>
      <c r="D24" s="421"/>
      <c r="E24" s="421"/>
      <c r="F24" s="421"/>
      <c r="G24" s="421"/>
      <c r="H24" s="441"/>
      <c r="I24" s="267"/>
    </row>
    <row r="25" spans="1:11" s="110" customFormat="1" ht="15.75" thickBot="1">
      <c r="A25" s="366">
        <v>28</v>
      </c>
      <c r="B25" s="110" t="s">
        <v>660</v>
      </c>
      <c r="E25" s="370">
        <f>61712275.67+2210000+334386397.4</f>
        <v>398308673.06999999</v>
      </c>
      <c r="F25" s="267"/>
      <c r="G25" s="370">
        <f>46538387.52+2040000+314299807.48+393740</f>
        <v>363271935</v>
      </c>
      <c r="H25" s="267"/>
      <c r="I25" s="267"/>
    </row>
    <row r="26" spans="1:11" s="110" customFormat="1" ht="15.75" thickTop="1">
      <c r="H26" s="267"/>
      <c r="I26" s="267"/>
    </row>
    <row r="27" spans="1:11" s="110" customFormat="1">
      <c r="B27" s="808" t="s">
        <v>696</v>
      </c>
      <c r="C27" s="808"/>
      <c r="D27" s="808"/>
      <c r="E27" s="808"/>
      <c r="F27" s="808"/>
      <c r="G27" s="808"/>
      <c r="H27" s="476"/>
      <c r="I27" s="267"/>
    </row>
    <row r="28" spans="1:11" s="110" customFormat="1">
      <c r="B28" s="474"/>
      <c r="C28" s="474"/>
      <c r="D28" s="474"/>
      <c r="E28" s="474"/>
      <c r="F28" s="474"/>
      <c r="G28" s="474"/>
      <c r="H28" s="476"/>
      <c r="I28" s="267"/>
    </row>
    <row r="29" spans="1:11" s="110" customFormat="1">
      <c r="A29" s="366">
        <v>29</v>
      </c>
      <c r="B29" s="17" t="s">
        <v>661</v>
      </c>
      <c r="H29" s="111">
        <v>3525000</v>
      </c>
      <c r="I29" s="267"/>
    </row>
    <row r="30" spans="1:11" s="110" customFormat="1">
      <c r="H30" s="267"/>
      <c r="I30" s="267"/>
    </row>
    <row r="31" spans="1:11" s="110" customFormat="1">
      <c r="B31" s="367" t="s">
        <v>881</v>
      </c>
      <c r="E31" s="9">
        <f>20877426.02+1968885.33</f>
        <v>22846311.350000001</v>
      </c>
      <c r="F31" s="5"/>
      <c r="G31" s="9">
        <f>30478926.77+7695203.1</f>
        <v>38174129.869999997</v>
      </c>
      <c r="H31" s="9"/>
      <c r="I31" s="267"/>
    </row>
    <row r="32" spans="1:11" s="110" customFormat="1">
      <c r="B32" s="367" t="s">
        <v>882</v>
      </c>
      <c r="E32" s="5">
        <f>1932000+16228714.53</f>
        <v>18160714.530000001</v>
      </c>
      <c r="F32" s="5"/>
      <c r="G32" s="5">
        <f>1881360.99+1619043.01</f>
        <v>3500404</v>
      </c>
      <c r="H32" s="9"/>
      <c r="I32" s="267"/>
    </row>
    <row r="33" spans="1:9" s="110" customFormat="1">
      <c r="B33" s="367" t="s">
        <v>1124</v>
      </c>
      <c r="E33" s="5">
        <f>3582</f>
        <v>3582</v>
      </c>
      <c r="F33" s="5"/>
      <c r="G33" s="5">
        <v>0</v>
      </c>
      <c r="H33" s="9"/>
      <c r="I33" s="267"/>
    </row>
    <row r="34" spans="1:9" s="110" customFormat="1" ht="15.75" thickBot="1">
      <c r="B34" s="367"/>
      <c r="C34" s="5"/>
      <c r="E34" s="114">
        <f>SUM(E31:E33)</f>
        <v>41010607.880000003</v>
      </c>
      <c r="F34" s="5"/>
      <c r="G34" s="114">
        <f>SUM(G31:G32)</f>
        <v>41674533.869999997</v>
      </c>
      <c r="H34" s="9"/>
      <c r="I34" s="267"/>
    </row>
    <row r="35" spans="1:9" s="110" customFormat="1" ht="15.75" thickTop="1">
      <c r="B35" s="367"/>
      <c r="E35" s="9"/>
      <c r="F35" s="5"/>
      <c r="G35" s="9"/>
      <c r="H35" s="9"/>
      <c r="I35" s="267"/>
    </row>
    <row r="36" spans="1:9" s="110" customFormat="1" ht="33" customHeight="1">
      <c r="B36" s="808" t="s">
        <v>906</v>
      </c>
      <c r="C36" s="808"/>
      <c r="D36" s="808"/>
      <c r="E36" s="808"/>
      <c r="F36" s="808"/>
      <c r="G36" s="808"/>
      <c r="H36" s="808"/>
      <c r="I36" s="267"/>
    </row>
    <row r="37" spans="1:9" s="110" customFormat="1">
      <c r="B37" s="419"/>
      <c r="C37" s="419"/>
      <c r="D37" s="358"/>
      <c r="E37" s="358"/>
      <c r="F37" s="358"/>
      <c r="G37" s="358"/>
      <c r="H37" s="374"/>
      <c r="I37" s="267"/>
    </row>
    <row r="38" spans="1:9" s="110" customFormat="1" ht="15.75" thickBot="1">
      <c r="A38" s="367">
        <v>30</v>
      </c>
      <c r="B38" s="808" t="s">
        <v>790</v>
      </c>
      <c r="C38" s="808"/>
      <c r="D38" s="358"/>
      <c r="E38" s="150">
        <f>58751638</f>
        <v>58751638</v>
      </c>
      <c r="F38" s="358"/>
      <c r="G38" s="150">
        <f>72673520</f>
        <v>72673520</v>
      </c>
      <c r="H38" s="9">
        <v>23984279</v>
      </c>
      <c r="I38" s="267"/>
    </row>
    <row r="39" spans="1:9" s="110" customFormat="1" ht="15.75" thickTop="1">
      <c r="B39" s="409"/>
      <c r="C39" s="409"/>
      <c r="D39" s="358"/>
      <c r="E39" s="358"/>
      <c r="F39" s="358"/>
      <c r="G39" s="358"/>
      <c r="H39" s="374"/>
      <c r="I39" s="267"/>
    </row>
    <row r="40" spans="1:9" s="110" customFormat="1">
      <c r="B40" s="808" t="s">
        <v>776</v>
      </c>
      <c r="C40" s="808"/>
      <c r="D40" s="808"/>
      <c r="E40" s="808"/>
      <c r="F40" s="808"/>
      <c r="G40" s="808"/>
      <c r="H40" s="417"/>
      <c r="I40" s="267"/>
    </row>
    <row r="41" spans="1:9" s="110" customFormat="1">
      <c r="B41" s="478"/>
      <c r="C41" s="478"/>
      <c r="D41" s="478"/>
      <c r="E41" s="478"/>
      <c r="F41" s="478"/>
      <c r="G41" s="478"/>
      <c r="H41" s="417"/>
      <c r="I41" s="267"/>
    </row>
    <row r="42" spans="1:9" s="110" customFormat="1">
      <c r="B42" s="808" t="s">
        <v>1077</v>
      </c>
      <c r="C42" s="808"/>
      <c r="D42" s="808"/>
      <c r="E42" s="808"/>
      <c r="F42" s="808"/>
      <c r="G42" s="808"/>
      <c r="H42" s="808"/>
      <c r="I42" s="267"/>
    </row>
    <row r="43" spans="1:9" s="110" customFormat="1">
      <c r="B43" s="808"/>
      <c r="C43" s="808"/>
      <c r="D43" s="808"/>
      <c r="E43" s="808"/>
      <c r="F43" s="808"/>
      <c r="G43" s="808"/>
      <c r="H43" s="808"/>
      <c r="I43" s="267"/>
    </row>
    <row r="44" spans="1:9" s="110" customFormat="1" ht="13.5" customHeight="1">
      <c r="B44" s="808"/>
      <c r="C44" s="808"/>
      <c r="D44" s="808"/>
      <c r="E44" s="808"/>
      <c r="F44" s="808"/>
      <c r="G44" s="808"/>
      <c r="H44" s="808"/>
      <c r="I44" s="267"/>
    </row>
    <row r="45" spans="1:9" s="110" customFormat="1">
      <c r="B45" s="808"/>
      <c r="C45" s="808"/>
      <c r="D45" s="808"/>
      <c r="E45" s="808"/>
      <c r="F45" s="808"/>
      <c r="G45" s="808"/>
      <c r="H45" s="808"/>
      <c r="I45" s="267"/>
    </row>
    <row r="46" spans="1:9" s="110" customFormat="1" ht="33" customHeight="1">
      <c r="B46" s="808"/>
      <c r="C46" s="808"/>
      <c r="D46" s="808"/>
      <c r="E46" s="808"/>
      <c r="F46" s="808"/>
      <c r="G46" s="808"/>
      <c r="H46" s="808"/>
      <c r="I46" s="267"/>
    </row>
    <row r="47" spans="1:9" s="110" customFormat="1" ht="15" hidden="1" customHeight="1">
      <c r="B47" s="808"/>
      <c r="C47" s="808"/>
      <c r="D47" s="808"/>
      <c r="E47" s="808"/>
      <c r="F47" s="808"/>
      <c r="G47" s="808"/>
      <c r="H47" s="808"/>
      <c r="I47" s="267"/>
    </row>
    <row r="48" spans="1:9" s="110" customFormat="1" ht="44.25" hidden="1" customHeight="1">
      <c r="B48" s="808"/>
      <c r="C48" s="808"/>
      <c r="D48" s="808"/>
      <c r="E48" s="808"/>
      <c r="F48" s="808"/>
      <c r="G48" s="808"/>
      <c r="H48" s="808"/>
      <c r="I48" s="267"/>
    </row>
    <row r="49" spans="1:18" s="110" customFormat="1" ht="17.25" customHeight="1">
      <c r="B49" s="474"/>
      <c r="C49" s="474"/>
      <c r="D49" s="474"/>
      <c r="E49" s="474"/>
      <c r="F49" s="474"/>
      <c r="G49" s="474"/>
      <c r="H49" s="477"/>
      <c r="I49" s="267"/>
    </row>
    <row r="50" spans="1:18" s="110" customFormat="1">
      <c r="J50" s="267"/>
    </row>
    <row r="51" spans="1:18" s="110" customFormat="1">
      <c r="B51" s="364" t="s">
        <v>534</v>
      </c>
      <c r="C51" s="364"/>
      <c r="D51" s="364"/>
      <c r="G51" s="19">
        <f>8304849+1839264</f>
        <v>10144113</v>
      </c>
      <c r="I51" s="19">
        <v>7333954</v>
      </c>
      <c r="J51" s="267"/>
    </row>
    <row r="52" spans="1:18" s="110" customFormat="1">
      <c r="B52" s="364" t="s">
        <v>530</v>
      </c>
      <c r="C52" s="364"/>
      <c r="D52" s="364"/>
      <c r="G52" s="132">
        <f>1992466</f>
        <v>1992466</v>
      </c>
      <c r="I52" s="132">
        <v>567700</v>
      </c>
      <c r="J52" s="267"/>
    </row>
    <row r="53" spans="1:18" s="110" customFormat="1" ht="15.75" thickBot="1">
      <c r="G53" s="114">
        <f>SUM(G51:G52)</f>
        <v>12136579</v>
      </c>
      <c r="I53" s="114">
        <f>SUM(I51:I52)</f>
        <v>7901654</v>
      </c>
      <c r="J53" s="267"/>
    </row>
    <row r="54" spans="1:18" s="110" customFormat="1" ht="15.75" thickTop="1">
      <c r="B54" s="808" t="s">
        <v>750</v>
      </c>
      <c r="C54" s="808"/>
      <c r="D54" s="808"/>
      <c r="E54" s="808"/>
      <c r="F54" s="808"/>
      <c r="G54" s="808"/>
      <c r="H54" s="808"/>
      <c r="I54" s="808"/>
      <c r="J54" s="808"/>
    </row>
    <row r="55" spans="1:18" s="110" customFormat="1">
      <c r="F55" s="363"/>
      <c r="G55" s="363"/>
      <c r="H55" s="363"/>
      <c r="I55" s="363"/>
      <c r="J55" s="371"/>
    </row>
    <row r="56" spans="1:18" s="110" customFormat="1" ht="15.75" thickBot="1">
      <c r="A56" s="366">
        <v>32</v>
      </c>
      <c r="B56" s="4" t="s">
        <v>536</v>
      </c>
      <c r="C56" s="4"/>
      <c r="D56" s="4"/>
      <c r="E56" s="4"/>
      <c r="F56" s="4"/>
      <c r="G56" s="150">
        <f>34964+746737</f>
        <v>781701</v>
      </c>
      <c r="I56" s="150">
        <v>508232</v>
      </c>
      <c r="J56" s="345"/>
    </row>
    <row r="57" spans="1:18" s="110" customFormat="1" ht="15.75" thickTop="1">
      <c r="J57" s="267"/>
    </row>
    <row r="58" spans="1:18" s="110" customFormat="1">
      <c r="B58" s="808" t="s">
        <v>793</v>
      </c>
      <c r="C58" s="808"/>
      <c r="D58" s="808"/>
      <c r="E58" s="808"/>
      <c r="F58" s="808"/>
      <c r="G58" s="808"/>
      <c r="H58" s="808"/>
      <c r="I58" s="808"/>
      <c r="J58" s="808"/>
    </row>
    <row r="59" spans="1:18" s="110" customFormat="1">
      <c r="B59" s="419"/>
      <c r="C59" s="419"/>
      <c r="D59" s="419"/>
      <c r="E59" s="419"/>
      <c r="F59" s="358"/>
      <c r="G59" s="358"/>
      <c r="H59" s="358"/>
      <c r="I59" s="358"/>
      <c r="J59" s="374"/>
    </row>
    <row r="60" spans="1:18" s="110" customFormat="1">
      <c r="B60" s="419"/>
      <c r="C60" s="419"/>
      <c r="D60" s="419"/>
      <c r="E60" s="419"/>
      <c r="F60" s="358"/>
      <c r="G60" s="358"/>
      <c r="H60" s="358"/>
      <c r="I60" s="358"/>
      <c r="J60" s="374"/>
    </row>
    <row r="61" spans="1:18" s="110" customFormat="1" ht="9" customHeight="1">
      <c r="B61" s="419"/>
      <c r="C61" s="419"/>
      <c r="D61" s="419"/>
      <c r="E61" s="419"/>
      <c r="F61" s="358"/>
      <c r="G61" s="358"/>
      <c r="H61" s="358"/>
      <c r="I61" s="358"/>
      <c r="J61" s="374"/>
    </row>
    <row r="62" spans="1:18">
      <c r="A62" s="366">
        <v>33</v>
      </c>
      <c r="B62" s="110" t="s">
        <v>669</v>
      </c>
      <c r="C62" s="110"/>
      <c r="D62" s="110"/>
      <c r="E62" s="110"/>
      <c r="F62" s="110"/>
      <c r="G62" s="110"/>
      <c r="H62" s="110"/>
      <c r="I62" s="110"/>
      <c r="J62" s="267"/>
      <c r="K62" s="110"/>
      <c r="L62" s="110"/>
      <c r="M62" s="110"/>
      <c r="N62" s="110"/>
      <c r="O62" s="110"/>
      <c r="P62" s="110"/>
      <c r="Q62" s="110"/>
      <c r="R62" s="110"/>
    </row>
    <row r="63" spans="1:18">
      <c r="A63" s="110"/>
      <c r="B63" s="110"/>
      <c r="C63" s="110"/>
      <c r="D63" s="110"/>
      <c r="E63" s="110"/>
      <c r="F63" s="110"/>
      <c r="G63" s="110"/>
      <c r="H63" s="110"/>
      <c r="I63" s="110"/>
      <c r="J63" s="267"/>
      <c r="K63" s="110"/>
      <c r="L63" s="110"/>
      <c r="M63" s="110"/>
      <c r="N63" s="110"/>
      <c r="O63" s="110"/>
      <c r="P63" s="110"/>
      <c r="Q63" s="110"/>
      <c r="R63" s="110"/>
    </row>
    <row r="64" spans="1:18">
      <c r="A64" s="110"/>
      <c r="B64" s="4" t="s">
        <v>662</v>
      </c>
      <c r="C64" s="110"/>
      <c r="D64" s="110"/>
      <c r="E64" s="110"/>
      <c r="F64" s="110"/>
      <c r="G64" s="285">
        <f>95910+76860090+14357510.97+17267250+341783+151800</f>
        <v>109074343.97</v>
      </c>
      <c r="H64" s="14"/>
      <c r="I64" s="285">
        <v>121468173</v>
      </c>
      <c r="J64" s="267"/>
    </row>
    <row r="65" spans="1:10">
      <c r="A65" s="110"/>
      <c r="B65" s="4" t="s">
        <v>663</v>
      </c>
      <c r="C65" s="110"/>
      <c r="D65" s="110"/>
      <c r="E65" s="110"/>
      <c r="F65" s="110"/>
      <c r="G65" s="286">
        <f>345345+78031+287500</f>
        <v>710876</v>
      </c>
      <c r="H65" s="14"/>
      <c r="I65" s="286">
        <v>342263</v>
      </c>
      <c r="J65" s="267"/>
    </row>
    <row r="66" spans="1:10">
      <c r="A66" s="110"/>
      <c r="B66" s="4" t="s">
        <v>781</v>
      </c>
      <c r="C66" s="110"/>
      <c r="D66" s="110"/>
      <c r="E66" s="110"/>
      <c r="F66" s="110"/>
      <c r="G66" s="286">
        <f>3657279</f>
        <v>3657279</v>
      </c>
      <c r="H66" s="14"/>
      <c r="I66" s="286">
        <v>2354660</v>
      </c>
      <c r="J66" s="267"/>
    </row>
    <row r="67" spans="1:10">
      <c r="A67" s="110"/>
      <c r="B67" s="4" t="s">
        <v>861</v>
      </c>
      <c r="C67" s="110"/>
      <c r="D67" s="110"/>
      <c r="E67" s="110"/>
      <c r="F67" s="110"/>
      <c r="G67" s="299">
        <f>416300</f>
        <v>416300</v>
      </c>
      <c r="I67" s="299">
        <v>72603</v>
      </c>
      <c r="J67" s="267"/>
    </row>
    <row r="68" spans="1:10" ht="15.75" thickBot="1">
      <c r="A68" s="110"/>
      <c r="B68" s="110"/>
      <c r="C68" s="110"/>
      <c r="D68" s="110"/>
      <c r="E68" s="110"/>
      <c r="F68" s="110"/>
      <c r="G68" s="114">
        <f>SUM(G64:G67)</f>
        <v>113858798.97</v>
      </c>
      <c r="I68" s="114">
        <f>SUM(I64:I67)</f>
        <v>124237699</v>
      </c>
      <c r="J68" s="267"/>
    </row>
    <row r="69" spans="1:10" ht="15.75" thickTop="1">
      <c r="A69" s="110"/>
      <c r="B69" s="808" t="s">
        <v>710</v>
      </c>
      <c r="C69" s="808"/>
      <c r="D69" s="808"/>
      <c r="E69" s="808"/>
      <c r="F69" s="808"/>
      <c r="G69" s="808"/>
      <c r="H69" s="808"/>
      <c r="I69" s="808"/>
      <c r="J69" s="267"/>
    </row>
    <row r="70" spans="1:10">
      <c r="A70" s="110"/>
      <c r="J70" s="363"/>
    </row>
    <row r="71" spans="1:10" ht="15.75" thickBot="1">
      <c r="A71" s="366">
        <v>34</v>
      </c>
      <c r="B71" s="4" t="s">
        <v>664</v>
      </c>
      <c r="C71" s="110"/>
      <c r="D71" s="110"/>
      <c r="E71" s="110"/>
      <c r="F71" s="110"/>
      <c r="G71" s="150">
        <f>34048914.91</f>
        <v>34048914.909999996</v>
      </c>
      <c r="H71" s="110"/>
      <c r="I71" s="150">
        <v>85543385</v>
      </c>
      <c r="J71" s="267"/>
    </row>
    <row r="72" spans="1:10" ht="15.75" thickTop="1">
      <c r="A72" s="110"/>
      <c r="B72" s="110"/>
      <c r="C72" s="110"/>
      <c r="D72" s="110"/>
      <c r="E72" s="110"/>
      <c r="F72" s="110"/>
      <c r="G72" s="110"/>
      <c r="H72" s="110"/>
      <c r="I72" s="110"/>
      <c r="J72" s="267"/>
    </row>
    <row r="73" spans="1:10" ht="39" customHeight="1">
      <c r="A73" s="110"/>
      <c r="B73" s="808" t="s">
        <v>904</v>
      </c>
      <c r="C73" s="808"/>
      <c r="D73" s="808"/>
      <c r="E73" s="808"/>
      <c r="F73" s="808"/>
      <c r="G73" s="808"/>
      <c r="H73" s="808"/>
      <c r="I73" s="808"/>
      <c r="J73" s="808"/>
    </row>
    <row r="74" spans="1:10" hidden="1">
      <c r="A74" s="110"/>
      <c r="B74" s="808"/>
      <c r="C74" s="808"/>
      <c r="D74" s="808"/>
      <c r="E74" s="808"/>
      <c r="F74" s="808"/>
      <c r="G74" s="808"/>
      <c r="H74" s="808"/>
      <c r="I74" s="808"/>
      <c r="J74" s="808"/>
    </row>
    <row r="75" spans="1:10">
      <c r="A75" s="110"/>
      <c r="B75" s="409"/>
      <c r="C75" s="409"/>
      <c r="D75" s="409"/>
      <c r="E75" s="409"/>
      <c r="F75" s="409"/>
      <c r="G75" s="409"/>
      <c r="H75" s="409"/>
      <c r="I75" s="409"/>
      <c r="J75" s="409"/>
    </row>
    <row r="76" spans="1:10" ht="15.75" thickBot="1">
      <c r="A76" s="367">
        <v>35</v>
      </c>
      <c r="B76" s="363" t="s">
        <v>858</v>
      </c>
      <c r="C76" s="363"/>
      <c r="D76" s="363"/>
      <c r="E76" s="363"/>
      <c r="F76" s="363"/>
      <c r="G76" s="396">
        <v>339768</v>
      </c>
      <c r="H76" s="363"/>
      <c r="I76" s="391">
        <v>0</v>
      </c>
      <c r="J76" s="363"/>
    </row>
    <row r="77" spans="1:10" ht="15.75" thickTop="1">
      <c r="A77" s="110"/>
      <c r="B77" s="808" t="s">
        <v>859</v>
      </c>
      <c r="C77" s="808"/>
      <c r="D77" s="808"/>
      <c r="E77" s="808"/>
      <c r="F77" s="808"/>
      <c r="G77" s="808"/>
      <c r="H77" s="808"/>
      <c r="I77" s="808"/>
      <c r="J77" s="808"/>
    </row>
    <row r="78" spans="1:10">
      <c r="A78" s="110"/>
      <c r="B78" s="409"/>
      <c r="C78" s="409"/>
      <c r="D78" s="409"/>
      <c r="E78" s="409"/>
      <c r="F78" s="409"/>
      <c r="G78" s="409"/>
      <c r="H78" s="409"/>
      <c r="I78" s="409"/>
      <c r="J78" s="363"/>
    </row>
    <row r="79" spans="1:10">
      <c r="A79" s="110"/>
      <c r="B79" s="409"/>
      <c r="C79" s="409"/>
      <c r="D79" s="409"/>
      <c r="E79" s="409"/>
      <c r="F79" s="409"/>
      <c r="G79" s="409"/>
      <c r="H79" s="409"/>
      <c r="I79" s="409"/>
      <c r="J79" s="363"/>
    </row>
    <row r="80" spans="1:10" ht="15.75" thickBot="1">
      <c r="A80" s="366">
        <v>36</v>
      </c>
      <c r="B80" s="265" t="s">
        <v>17</v>
      </c>
      <c r="C80" s="265"/>
      <c r="D80" s="265"/>
      <c r="E80" s="110"/>
      <c r="F80" s="110"/>
      <c r="G80" s="150" t="e">
        <f>#REF!</f>
        <v>#REF!</v>
      </c>
      <c r="I80" s="150">
        <v>135857296</v>
      </c>
      <c r="J80" s="267"/>
    </row>
    <row r="81" spans="1:13" ht="15.75" thickTop="1">
      <c r="A81" s="110"/>
      <c r="B81" s="110"/>
      <c r="C81" s="110"/>
      <c r="D81" s="110"/>
      <c r="E81" s="110"/>
      <c r="F81" s="110"/>
      <c r="G81" s="110"/>
      <c r="H81" s="110"/>
      <c r="I81" s="110"/>
      <c r="J81" s="267"/>
    </row>
    <row r="82" spans="1:13">
      <c r="A82" s="110"/>
      <c r="B82" s="808" t="s">
        <v>838</v>
      </c>
      <c r="C82" s="808"/>
      <c r="D82" s="808"/>
      <c r="E82" s="808"/>
      <c r="F82" s="808"/>
      <c r="G82" s="808"/>
      <c r="H82" s="808"/>
      <c r="I82" s="808"/>
      <c r="J82" s="808"/>
      <c r="M82" s="1" t="e">
        <f>G80-103406164</f>
        <v>#REF!</v>
      </c>
    </row>
    <row r="83" spans="1:13" ht="11.25" customHeight="1">
      <c r="A83" s="110"/>
      <c r="B83" s="409"/>
      <c r="C83" s="409"/>
      <c r="D83" s="409"/>
      <c r="E83" s="409"/>
      <c r="F83" s="363"/>
      <c r="G83" s="363"/>
      <c r="H83" s="363"/>
      <c r="I83" s="363"/>
      <c r="J83" s="371"/>
    </row>
    <row r="84" spans="1:13" ht="84.75" customHeight="1">
      <c r="A84" s="110"/>
      <c r="B84" s="808" t="s">
        <v>885</v>
      </c>
      <c r="C84" s="808"/>
      <c r="D84" s="808"/>
      <c r="E84" s="808"/>
      <c r="F84" s="808"/>
      <c r="G84" s="808"/>
      <c r="H84" s="808"/>
      <c r="I84" s="808"/>
      <c r="J84" s="808"/>
    </row>
    <row r="85" spans="1:13">
      <c r="A85" s="366">
        <v>37</v>
      </c>
      <c r="B85" s="6" t="s">
        <v>19</v>
      </c>
      <c r="C85" s="6"/>
      <c r="D85" s="6"/>
      <c r="E85" s="6"/>
      <c r="F85" s="6"/>
      <c r="G85" s="375"/>
      <c r="H85" s="376"/>
      <c r="I85" s="375"/>
      <c r="J85" s="376"/>
    </row>
    <row r="86" spans="1:13">
      <c r="A86" s="110"/>
      <c r="B86" s="110"/>
      <c r="C86" s="110"/>
      <c r="D86" s="110"/>
      <c r="E86" s="110"/>
      <c r="F86" s="110"/>
      <c r="G86" s="110"/>
      <c r="H86" s="110"/>
      <c r="I86" s="110"/>
      <c r="J86" s="267"/>
    </row>
    <row r="87" spans="1:13" ht="39" customHeight="1">
      <c r="A87" s="110"/>
      <c r="B87" s="808" t="s">
        <v>816</v>
      </c>
      <c r="C87" s="808"/>
      <c r="D87" s="808"/>
      <c r="E87" s="808"/>
      <c r="F87" s="808"/>
      <c r="G87" s="808"/>
      <c r="H87" s="808"/>
      <c r="I87" s="808"/>
      <c r="J87" s="808"/>
    </row>
    <row r="88" spans="1:13">
      <c r="A88" s="110"/>
      <c r="B88" s="808" t="s">
        <v>814</v>
      </c>
      <c r="C88" s="808"/>
      <c r="D88" s="418"/>
      <c r="E88" s="418"/>
      <c r="F88" s="418"/>
      <c r="G88" s="377">
        <v>0</v>
      </c>
      <c r="H88" s="418"/>
      <c r="I88" s="377">
        <v>46230274</v>
      </c>
      <c r="J88" s="378"/>
    </row>
    <row r="89" spans="1:13">
      <c r="A89" s="110"/>
      <c r="B89" s="808" t="s">
        <v>815</v>
      </c>
      <c r="C89" s="808"/>
      <c r="D89" s="418"/>
      <c r="E89" s="418"/>
      <c r="F89" s="418"/>
      <c r="G89" s="377">
        <f>176412793.78</f>
        <v>176412793.78</v>
      </c>
      <c r="H89" s="418"/>
      <c r="I89" s="377">
        <v>75006591</v>
      </c>
      <c r="J89" s="378"/>
    </row>
    <row r="90" spans="1:13" ht="15.75" thickBot="1">
      <c r="A90" s="110"/>
      <c r="B90" s="418"/>
      <c r="C90" s="418"/>
      <c r="D90" s="418"/>
      <c r="E90" s="418"/>
      <c r="F90" s="418"/>
      <c r="G90" s="379">
        <f>SUM(G88:G89)</f>
        <v>176412793.78</v>
      </c>
      <c r="H90" s="418"/>
      <c r="I90" s="379">
        <f>SUM(I88:I89)</f>
        <v>121236865</v>
      </c>
      <c r="J90" s="378"/>
    </row>
    <row r="91" spans="1:13" ht="15.75" thickTop="1">
      <c r="A91" s="110"/>
      <c r="B91" s="418"/>
      <c r="C91" s="418"/>
      <c r="D91" s="418"/>
      <c r="E91" s="418"/>
      <c r="F91" s="418"/>
      <c r="G91" s="406"/>
      <c r="H91" s="418"/>
      <c r="I91" s="406"/>
      <c r="J91" s="378"/>
    </row>
    <row r="92" spans="1:13">
      <c r="A92" s="110"/>
      <c r="B92" s="418"/>
      <c r="C92" s="418"/>
      <c r="D92" s="418"/>
      <c r="E92" s="418"/>
      <c r="F92" s="418"/>
      <c r="G92" s="406"/>
      <c r="H92" s="418"/>
      <c r="I92" s="406"/>
      <c r="J92" s="378"/>
    </row>
    <row r="93" spans="1:13">
      <c r="A93" s="110"/>
      <c r="B93" s="418"/>
      <c r="C93" s="418"/>
      <c r="D93" s="418"/>
      <c r="E93" s="418"/>
      <c r="F93" s="418"/>
      <c r="G93" s="406"/>
      <c r="H93" s="418"/>
      <c r="I93" s="406"/>
      <c r="J93" s="378"/>
    </row>
    <row r="94" spans="1:13">
      <c r="A94" s="110"/>
      <c r="B94" s="418"/>
      <c r="C94" s="418"/>
      <c r="D94" s="418"/>
      <c r="E94" s="418"/>
      <c r="F94" s="418"/>
      <c r="G94" s="406"/>
      <c r="H94" s="418"/>
      <c r="I94" s="406"/>
      <c r="J94" s="378"/>
    </row>
    <row r="95" spans="1:13">
      <c r="A95" s="110"/>
      <c r="B95" s="418"/>
      <c r="C95" s="418"/>
      <c r="D95" s="418"/>
      <c r="E95" s="418"/>
      <c r="F95" s="418"/>
      <c r="G95" s="406"/>
      <c r="H95" s="418"/>
      <c r="I95" s="406"/>
      <c r="J95" s="378"/>
    </row>
    <row r="96" spans="1:13">
      <c r="A96" s="110"/>
      <c r="B96" s="418"/>
      <c r="C96" s="418"/>
      <c r="D96" s="418"/>
      <c r="E96" s="418"/>
      <c r="F96" s="418"/>
      <c r="G96" s="406"/>
      <c r="H96" s="418"/>
      <c r="I96" s="406"/>
      <c r="J96" s="378"/>
    </row>
    <row r="97" spans="1:14">
      <c r="A97" s="110"/>
      <c r="B97" s="418"/>
      <c r="C97" s="418"/>
      <c r="D97" s="418"/>
      <c r="E97" s="418"/>
      <c r="F97" s="418"/>
      <c r="G97" s="406"/>
      <c r="H97" s="418"/>
      <c r="I97" s="406"/>
      <c r="J97" s="378"/>
    </row>
    <row r="98" spans="1:14">
      <c r="A98" s="110"/>
      <c r="B98" s="418"/>
      <c r="C98" s="418"/>
      <c r="D98" s="418"/>
      <c r="E98" s="418"/>
      <c r="F98" s="418"/>
      <c r="G98" s="406"/>
      <c r="H98" s="418"/>
      <c r="I98" s="406"/>
      <c r="J98" s="378"/>
    </row>
    <row r="99" spans="1:14">
      <c r="A99" s="110"/>
      <c r="B99" s="418"/>
      <c r="C99" s="418"/>
      <c r="D99" s="418"/>
      <c r="E99" s="418"/>
      <c r="F99" s="418"/>
      <c r="G99" s="406"/>
      <c r="H99" s="418"/>
      <c r="I99" s="406"/>
      <c r="J99" s="378"/>
    </row>
    <row r="100" spans="1:14">
      <c r="A100" s="110"/>
      <c r="B100" s="418"/>
      <c r="C100" s="418"/>
      <c r="D100" s="418"/>
      <c r="E100" s="418"/>
      <c r="F100" s="418"/>
      <c r="G100" s="406"/>
      <c r="H100" s="418"/>
      <c r="I100" s="406"/>
      <c r="J100" s="378"/>
    </row>
    <row r="101" spans="1:14">
      <c r="A101" s="110"/>
      <c r="B101" s="418"/>
      <c r="C101" s="418"/>
      <c r="D101" s="418"/>
      <c r="E101" s="418"/>
      <c r="F101" s="418"/>
      <c r="G101" s="406"/>
      <c r="H101" s="418"/>
      <c r="I101" s="406"/>
      <c r="J101" s="378"/>
    </row>
    <row r="102" spans="1:14">
      <c r="A102" s="110"/>
      <c r="B102" s="418"/>
      <c r="C102" s="418"/>
      <c r="D102" s="418"/>
      <c r="E102" s="418"/>
      <c r="F102" s="418"/>
      <c r="G102" s="406"/>
      <c r="H102" s="418"/>
      <c r="I102" s="406"/>
      <c r="J102" s="378"/>
    </row>
    <row r="103" spans="1:14">
      <c r="A103" s="110"/>
      <c r="B103" s="418"/>
      <c r="C103" s="418"/>
      <c r="D103" s="418"/>
      <c r="E103" s="418"/>
      <c r="F103" s="418"/>
      <c r="G103" s="406"/>
      <c r="H103" s="418"/>
      <c r="I103" s="406"/>
      <c r="J103" s="378"/>
    </row>
    <row r="104" spans="1:14">
      <c r="A104" s="110"/>
      <c r="B104" s="418"/>
      <c r="C104" s="418"/>
      <c r="D104" s="418"/>
      <c r="E104" s="418"/>
      <c r="F104" s="418"/>
      <c r="G104" s="406"/>
      <c r="H104" s="418"/>
      <c r="I104" s="406"/>
      <c r="J104" s="378"/>
    </row>
    <row r="105" spans="1:14">
      <c r="A105" s="110"/>
      <c r="B105" s="418"/>
      <c r="C105" s="418"/>
      <c r="D105" s="418"/>
      <c r="E105" s="418"/>
      <c r="F105" s="418"/>
      <c r="G105" s="406"/>
      <c r="H105" s="418"/>
      <c r="I105" s="406"/>
      <c r="J105" s="378"/>
    </row>
    <row r="106" spans="1:14">
      <c r="A106" s="366">
        <v>38</v>
      </c>
      <c r="B106" s="380" t="s">
        <v>20</v>
      </c>
      <c r="C106" s="380"/>
      <c r="D106" s="380"/>
      <c r="E106" s="17"/>
      <c r="F106" s="17"/>
      <c r="G106" s="17"/>
      <c r="H106" s="17"/>
      <c r="I106" s="17"/>
      <c r="J106" s="217"/>
    </row>
    <row r="107" spans="1:14" ht="3.75" customHeight="1">
      <c r="A107" s="366"/>
      <c r="B107" s="380"/>
      <c r="C107" s="380"/>
      <c r="D107" s="380"/>
      <c r="E107" s="17"/>
      <c r="F107" s="17"/>
      <c r="G107" s="17"/>
      <c r="H107" s="17"/>
      <c r="I107" s="17"/>
      <c r="J107" s="217"/>
    </row>
    <row r="108" spans="1:14">
      <c r="A108" s="110"/>
      <c r="B108" s="265" t="s">
        <v>189</v>
      </c>
      <c r="C108" s="265"/>
      <c r="D108" s="265"/>
      <c r="E108" s="4"/>
      <c r="F108" s="4"/>
      <c r="G108" s="354">
        <f>96720517.88-3184601-5926009+48030</f>
        <v>87657937.879999995</v>
      </c>
      <c r="H108" s="374"/>
      <c r="I108" s="354">
        <v>82927773.38000001</v>
      </c>
      <c r="J108" s="381"/>
    </row>
    <row r="109" spans="1:14">
      <c r="A109" s="110"/>
      <c r="B109" s="265" t="s">
        <v>433</v>
      </c>
      <c r="C109" s="265"/>
      <c r="D109" s="265"/>
      <c r="E109" s="4"/>
      <c r="F109" s="4"/>
      <c r="G109" s="382">
        <f>2461517+1064436-179352-162000</f>
        <v>3184601</v>
      </c>
      <c r="H109" s="374"/>
      <c r="I109" s="382">
        <v>3557577</v>
      </c>
      <c r="J109" s="381"/>
    </row>
    <row r="110" spans="1:14">
      <c r="A110" s="110"/>
      <c r="B110" s="265" t="s">
        <v>584</v>
      </c>
      <c r="C110" s="265"/>
      <c r="D110" s="265"/>
      <c r="E110" s="4"/>
      <c r="F110" s="4"/>
      <c r="G110" s="382">
        <f>441810+2220843+3263355.5</f>
        <v>5926008.5</v>
      </c>
      <c r="H110" s="374"/>
      <c r="I110" s="382">
        <v>5935130.7999999998</v>
      </c>
      <c r="J110" s="381"/>
      <c r="K110" s="1">
        <f>G108-I108</f>
        <v>4730164.4999999851</v>
      </c>
      <c r="L110" s="1">
        <v>82927773.38000001</v>
      </c>
    </row>
    <row r="111" spans="1:14">
      <c r="A111" s="110"/>
      <c r="B111" s="265" t="s">
        <v>190</v>
      </c>
      <c r="C111" s="265"/>
      <c r="D111" s="265"/>
      <c r="E111" s="4"/>
      <c r="F111" s="4"/>
      <c r="G111" s="382">
        <v>13799998</v>
      </c>
      <c r="H111" s="374"/>
      <c r="I111" s="382">
        <v>10388741</v>
      </c>
      <c r="J111" s="381"/>
      <c r="K111" s="1">
        <f t="shared" ref="K111:K140" si="0">G109-I109</f>
        <v>-372976</v>
      </c>
      <c r="L111" s="1">
        <v>3557577</v>
      </c>
      <c r="N111" s="1">
        <f>96720517.88+48030</f>
        <v>96768547.879999995</v>
      </c>
    </row>
    <row r="112" spans="1:14">
      <c r="A112" s="110"/>
      <c r="B112" s="383" t="s">
        <v>191</v>
      </c>
      <c r="C112" s="383"/>
      <c r="D112" s="383"/>
      <c r="E112" s="6"/>
      <c r="F112" s="6"/>
      <c r="G112" s="382">
        <v>3097207</v>
      </c>
      <c r="H112" s="374"/>
      <c r="I112" s="382">
        <v>1981026</v>
      </c>
      <c r="J112" s="384"/>
      <c r="K112" s="1">
        <f t="shared" si="0"/>
        <v>-9122.2999999998137</v>
      </c>
      <c r="L112" s="1">
        <v>5935130.7999999998</v>
      </c>
    </row>
    <row r="113" spans="1:12">
      <c r="A113" s="110"/>
      <c r="B113" s="383" t="s">
        <v>697</v>
      </c>
      <c r="C113" s="383"/>
      <c r="D113" s="383"/>
      <c r="E113" s="6"/>
      <c r="F113" s="6"/>
      <c r="G113" s="382">
        <v>2904642</v>
      </c>
      <c r="H113" s="374"/>
      <c r="I113" s="382">
        <v>7561474</v>
      </c>
      <c r="J113" s="384"/>
      <c r="K113" s="1">
        <f t="shared" si="0"/>
        <v>3411257</v>
      </c>
      <c r="L113" s="1">
        <v>10388741</v>
      </c>
    </row>
    <row r="114" spans="1:12">
      <c r="A114" s="110"/>
      <c r="B114" s="383" t="s">
        <v>242</v>
      </c>
      <c r="C114" s="383"/>
      <c r="D114" s="383"/>
      <c r="E114" s="6"/>
      <c r="F114" s="6"/>
      <c r="G114" s="382">
        <v>1641107</v>
      </c>
      <c r="H114" s="374"/>
      <c r="I114" s="382">
        <v>1732958</v>
      </c>
      <c r="J114" s="384"/>
      <c r="K114" s="1">
        <f t="shared" si="0"/>
        <v>1116181</v>
      </c>
      <c r="L114" s="1">
        <v>1981026</v>
      </c>
    </row>
    <row r="115" spans="1:12">
      <c r="A115" s="110"/>
      <c r="B115" s="362" t="s">
        <v>531</v>
      </c>
      <c r="C115" s="362"/>
      <c r="D115" s="362"/>
      <c r="E115" s="351"/>
      <c r="F115" s="351"/>
      <c r="G115" s="382">
        <v>4467917</v>
      </c>
      <c r="H115" s="374"/>
      <c r="I115" s="382">
        <v>5919380</v>
      </c>
      <c r="J115" s="384"/>
      <c r="K115" s="1">
        <f t="shared" si="0"/>
        <v>-4656832</v>
      </c>
      <c r="L115" s="1">
        <v>7561474</v>
      </c>
    </row>
    <row r="116" spans="1:12">
      <c r="A116" s="110"/>
      <c r="B116" s="383" t="s">
        <v>698</v>
      </c>
      <c r="C116" s="383"/>
      <c r="D116" s="383"/>
      <c r="E116" s="6"/>
      <c r="F116" s="6"/>
      <c r="G116" s="382">
        <v>1777422</v>
      </c>
      <c r="H116" s="374"/>
      <c r="I116" s="382">
        <v>1753636</v>
      </c>
      <c r="J116" s="384"/>
      <c r="K116" s="1">
        <f t="shared" si="0"/>
        <v>-91851</v>
      </c>
      <c r="L116" s="1">
        <v>1732958</v>
      </c>
    </row>
    <row r="117" spans="1:12">
      <c r="A117" s="110"/>
      <c r="B117" s="383" t="s">
        <v>192</v>
      </c>
      <c r="C117" s="383"/>
      <c r="D117" s="383"/>
      <c r="E117" s="6"/>
      <c r="F117" s="6"/>
      <c r="G117" s="382">
        <v>2920266</v>
      </c>
      <c r="H117" s="374"/>
      <c r="I117" s="382">
        <v>3055575</v>
      </c>
      <c r="J117" s="384"/>
      <c r="K117" s="1">
        <f t="shared" si="0"/>
        <v>-1451463</v>
      </c>
      <c r="L117" s="1">
        <v>5919380</v>
      </c>
    </row>
    <row r="118" spans="1:12">
      <c r="A118" s="110"/>
      <c r="B118" s="383" t="s">
        <v>894</v>
      </c>
      <c r="C118" s="383"/>
      <c r="D118" s="383"/>
      <c r="E118" s="6"/>
      <c r="F118" s="6"/>
      <c r="G118" s="382">
        <f>165000</f>
        <v>165000</v>
      </c>
      <c r="H118" s="374"/>
      <c r="I118" s="29">
        <v>273750</v>
      </c>
      <c r="J118" s="384"/>
      <c r="K118" s="1">
        <f t="shared" si="0"/>
        <v>23786</v>
      </c>
      <c r="L118" s="1">
        <v>1753636</v>
      </c>
    </row>
    <row r="119" spans="1:12">
      <c r="A119" s="110"/>
      <c r="B119" s="383" t="s">
        <v>193</v>
      </c>
      <c r="C119" s="383"/>
      <c r="D119" s="383"/>
      <c r="E119" s="6"/>
      <c r="F119" s="6"/>
      <c r="G119" s="382">
        <v>642150</v>
      </c>
      <c r="H119" s="374"/>
      <c r="I119" s="382">
        <v>893656</v>
      </c>
      <c r="J119" s="384"/>
      <c r="K119" s="1">
        <f t="shared" si="0"/>
        <v>-135309</v>
      </c>
      <c r="L119" s="1">
        <v>3055575</v>
      </c>
    </row>
    <row r="120" spans="1:12">
      <c r="A120" s="110"/>
      <c r="B120" s="383" t="s">
        <v>430</v>
      </c>
      <c r="C120" s="383"/>
      <c r="D120" s="383"/>
      <c r="E120" s="6"/>
      <c r="F120" s="6"/>
      <c r="G120" s="382">
        <v>2982014</v>
      </c>
      <c r="H120" s="374"/>
      <c r="I120" s="29">
        <v>5250027</v>
      </c>
      <c r="J120" s="384"/>
      <c r="K120" s="1">
        <f t="shared" si="0"/>
        <v>-108750</v>
      </c>
      <c r="L120" s="1">
        <v>893656</v>
      </c>
    </row>
    <row r="121" spans="1:12">
      <c r="A121" s="110"/>
      <c r="B121" s="380" t="s">
        <v>194</v>
      </c>
      <c r="C121" s="380"/>
      <c r="D121" s="380"/>
      <c r="E121" s="17"/>
      <c r="F121" s="17"/>
      <c r="G121" s="382">
        <v>2151429.5</v>
      </c>
      <c r="H121" s="374"/>
      <c r="I121" s="29">
        <v>1880840</v>
      </c>
      <c r="J121" s="372"/>
      <c r="K121" s="1">
        <f t="shared" si="0"/>
        <v>-251506</v>
      </c>
      <c r="L121" s="1">
        <v>273750</v>
      </c>
    </row>
    <row r="122" spans="1:12">
      <c r="A122" s="110"/>
      <c r="B122" s="383" t="s">
        <v>195</v>
      </c>
      <c r="C122" s="383"/>
      <c r="D122" s="383"/>
      <c r="E122" s="6"/>
      <c r="F122" s="6"/>
      <c r="G122" s="397">
        <v>2879501</v>
      </c>
      <c r="H122" s="374"/>
      <c r="I122" s="397">
        <v>2903735</v>
      </c>
      <c r="J122" s="384"/>
      <c r="K122" s="1">
        <f t="shared" si="0"/>
        <v>-2268013</v>
      </c>
      <c r="L122" s="1">
        <v>5250027</v>
      </c>
    </row>
    <row r="123" spans="1:12">
      <c r="A123" s="110"/>
      <c r="B123" s="265" t="s">
        <v>655</v>
      </c>
      <c r="C123" s="265"/>
      <c r="D123" s="265"/>
      <c r="E123" s="4"/>
      <c r="F123" s="4"/>
      <c r="G123" s="382">
        <v>1374360</v>
      </c>
      <c r="H123" s="374"/>
      <c r="I123" s="382">
        <v>1568152</v>
      </c>
      <c r="J123" s="381"/>
      <c r="K123" s="1">
        <f t="shared" si="0"/>
        <v>270589.5</v>
      </c>
      <c r="L123" s="1">
        <v>1880840</v>
      </c>
    </row>
    <row r="124" spans="1:12">
      <c r="A124" s="110"/>
      <c r="B124" s="265" t="s">
        <v>924</v>
      </c>
      <c r="C124" s="265"/>
      <c r="D124" s="265"/>
      <c r="E124" s="4"/>
      <c r="F124" s="4"/>
      <c r="G124" s="382">
        <v>1618</v>
      </c>
      <c r="H124" s="374"/>
      <c r="I124" s="382">
        <v>129327</v>
      </c>
      <c r="J124" s="381"/>
      <c r="K124" s="1">
        <f t="shared" si="0"/>
        <v>-24234</v>
      </c>
      <c r="L124" s="1">
        <v>129327</v>
      </c>
    </row>
    <row r="125" spans="1:12">
      <c r="A125" s="110"/>
      <c r="B125" s="265" t="s">
        <v>535</v>
      </c>
      <c r="C125" s="265"/>
      <c r="D125" s="265"/>
      <c r="E125" s="4"/>
      <c r="F125" s="4"/>
      <c r="G125" s="382">
        <f>2556514</f>
        <v>2556514</v>
      </c>
      <c r="H125" s="374"/>
      <c r="I125" s="382">
        <v>3013065</v>
      </c>
      <c r="J125" s="381"/>
      <c r="K125" s="1">
        <f t="shared" si="0"/>
        <v>-193792</v>
      </c>
      <c r="L125" s="1">
        <v>2903735</v>
      </c>
    </row>
    <row r="126" spans="1:12">
      <c r="A126" s="110"/>
      <c r="B126" s="265" t="s">
        <v>199</v>
      </c>
      <c r="C126" s="265"/>
      <c r="D126" s="265"/>
      <c r="E126" s="4"/>
      <c r="F126" s="4"/>
      <c r="G126" s="382">
        <f>59684</f>
        <v>59684</v>
      </c>
      <c r="H126" s="374"/>
      <c r="I126" s="382">
        <v>37353</v>
      </c>
      <c r="J126" s="381"/>
      <c r="K126" s="1">
        <f t="shared" si="0"/>
        <v>-127709</v>
      </c>
      <c r="L126" s="1">
        <v>1568152</v>
      </c>
    </row>
    <row r="127" spans="1:12">
      <c r="A127" s="110"/>
      <c r="B127" s="265" t="s">
        <v>200</v>
      </c>
      <c r="C127" s="265"/>
      <c r="D127" s="265"/>
      <c r="E127" s="4"/>
      <c r="F127" s="4"/>
      <c r="G127" s="382">
        <v>1829916</v>
      </c>
      <c r="H127" s="374"/>
      <c r="I127" s="382">
        <f>1353303+6672</f>
        <v>1359975</v>
      </c>
      <c r="J127" s="381"/>
      <c r="K127" s="1">
        <f t="shared" si="0"/>
        <v>-456551</v>
      </c>
      <c r="L127" s="1">
        <v>3013065</v>
      </c>
    </row>
    <row r="128" spans="1:12">
      <c r="A128" s="110"/>
      <c r="B128" s="265" t="s">
        <v>560</v>
      </c>
      <c r="C128" s="265"/>
      <c r="D128" s="265"/>
      <c r="E128" s="4"/>
      <c r="F128" s="4"/>
      <c r="G128" s="382">
        <v>2291434.7799999998</v>
      </c>
      <c r="H128" s="374"/>
      <c r="I128" s="382">
        <v>1949823</v>
      </c>
      <c r="J128" s="381"/>
      <c r="K128" s="1">
        <f t="shared" si="0"/>
        <v>22331</v>
      </c>
      <c r="L128" s="1">
        <v>37353</v>
      </c>
    </row>
    <row r="129" spans="1:12">
      <c r="A129" s="110"/>
      <c r="B129" s="265" t="s">
        <v>201</v>
      </c>
      <c r="C129" s="265"/>
      <c r="D129" s="265"/>
      <c r="E129" s="4"/>
      <c r="F129" s="4"/>
      <c r="G129" s="382">
        <v>848054.21</v>
      </c>
      <c r="H129" s="374"/>
      <c r="I129" s="382">
        <f>660408.32+960.03+115</f>
        <v>661483.35</v>
      </c>
      <c r="J129" s="381"/>
      <c r="K129" s="1">
        <f t="shared" si="0"/>
        <v>469941</v>
      </c>
      <c r="L129" s="1">
        <v>1359975</v>
      </c>
    </row>
    <row r="130" spans="1:12">
      <c r="A130" s="110"/>
      <c r="B130" s="362" t="s">
        <v>202</v>
      </c>
      <c r="C130" s="362"/>
      <c r="D130" s="362"/>
      <c r="E130" s="351"/>
      <c r="F130" s="351"/>
      <c r="G130" s="382">
        <v>151984</v>
      </c>
      <c r="H130" s="374"/>
      <c r="I130" s="382">
        <v>144458</v>
      </c>
      <c r="J130" s="384"/>
      <c r="K130" s="1">
        <f t="shared" si="0"/>
        <v>341611.7799999998</v>
      </c>
      <c r="L130" s="1">
        <v>1949823</v>
      </c>
    </row>
    <row r="131" spans="1:12">
      <c r="A131" s="110"/>
      <c r="B131" s="362" t="s">
        <v>711</v>
      </c>
      <c r="C131" s="362"/>
      <c r="D131" s="362"/>
      <c r="E131" s="351"/>
      <c r="F131" s="351"/>
      <c r="G131" s="382">
        <v>570160</v>
      </c>
      <c r="H131" s="374"/>
      <c r="I131" s="382">
        <v>1881041</v>
      </c>
      <c r="J131" s="384"/>
      <c r="K131" s="1">
        <f t="shared" si="0"/>
        <v>186570.86</v>
      </c>
      <c r="L131" s="1">
        <v>661483.35</v>
      </c>
    </row>
    <row r="132" spans="1:12">
      <c r="A132" s="110"/>
      <c r="B132" s="362" t="s">
        <v>665</v>
      </c>
      <c r="C132" s="362"/>
      <c r="D132" s="362"/>
      <c r="E132" s="351"/>
      <c r="F132" s="351"/>
      <c r="G132" s="382">
        <v>438349</v>
      </c>
      <c r="H132" s="374"/>
      <c r="I132" s="382">
        <v>250000</v>
      </c>
      <c r="J132" s="384"/>
      <c r="K132" s="1">
        <f t="shared" si="0"/>
        <v>7526</v>
      </c>
      <c r="L132" s="1">
        <v>144458</v>
      </c>
    </row>
    <row r="133" spans="1:12">
      <c r="A133" s="110"/>
      <c r="B133" s="362" t="s">
        <v>561</v>
      </c>
      <c r="C133" s="362"/>
      <c r="D133" s="362"/>
      <c r="E133" s="351"/>
      <c r="F133" s="351"/>
      <c r="G133" s="382">
        <v>0</v>
      </c>
      <c r="H133" s="374"/>
      <c r="I133" s="382">
        <v>2890000</v>
      </c>
      <c r="J133" s="384"/>
      <c r="K133" s="1">
        <f t="shared" si="0"/>
        <v>-1310881</v>
      </c>
      <c r="L133" s="1">
        <v>1881041</v>
      </c>
    </row>
    <row r="134" spans="1:12">
      <c r="A134" s="110"/>
      <c r="B134" s="362" t="s">
        <v>893</v>
      </c>
      <c r="C134" s="362"/>
      <c r="D134" s="362"/>
      <c r="E134" s="351"/>
      <c r="F134" s="351"/>
      <c r="G134" s="382">
        <v>37375</v>
      </c>
      <c r="H134" s="374"/>
      <c r="I134" s="382">
        <v>100000</v>
      </c>
      <c r="J134" s="384"/>
      <c r="K134" s="1">
        <f t="shared" si="0"/>
        <v>188349</v>
      </c>
      <c r="L134" s="1">
        <v>250000</v>
      </c>
    </row>
    <row r="135" spans="1:12">
      <c r="A135" s="110"/>
      <c r="B135" s="362" t="s">
        <v>712</v>
      </c>
      <c r="C135" s="362"/>
      <c r="D135" s="362"/>
      <c r="E135" s="351"/>
      <c r="F135" s="351"/>
      <c r="G135" s="382">
        <f>38983+12230</f>
        <v>51213</v>
      </c>
      <c r="H135" s="374"/>
      <c r="I135" s="29">
        <v>41985</v>
      </c>
      <c r="J135" s="384"/>
      <c r="K135" s="1">
        <f t="shared" si="0"/>
        <v>-2890000</v>
      </c>
      <c r="L135" s="1">
        <v>2890000</v>
      </c>
    </row>
    <row r="136" spans="1:12">
      <c r="A136" s="110"/>
      <c r="B136" s="362" t="s">
        <v>860</v>
      </c>
      <c r="C136" s="362"/>
      <c r="D136" s="362"/>
      <c r="E136" s="351"/>
      <c r="F136" s="351"/>
      <c r="G136" s="382">
        <v>3181857</v>
      </c>
      <c r="H136" s="374"/>
      <c r="I136" s="400">
        <v>0</v>
      </c>
      <c r="J136" s="384"/>
      <c r="K136" s="1">
        <f t="shared" si="0"/>
        <v>-62625</v>
      </c>
      <c r="L136" s="1">
        <v>452604</v>
      </c>
    </row>
    <row r="137" spans="1:12">
      <c r="A137" s="110"/>
      <c r="B137" s="362" t="s">
        <v>907</v>
      </c>
      <c r="C137" s="362"/>
      <c r="D137" s="362"/>
      <c r="E137" s="351"/>
      <c r="F137" s="351"/>
      <c r="G137" s="382">
        <v>522632</v>
      </c>
      <c r="H137" s="374"/>
      <c r="I137" s="29">
        <v>452604</v>
      </c>
      <c r="J137" s="384"/>
      <c r="K137" s="1">
        <f t="shared" si="0"/>
        <v>9228</v>
      </c>
      <c r="L137" s="1">
        <v>100000</v>
      </c>
    </row>
    <row r="138" spans="1:12" ht="14.25" customHeight="1">
      <c r="A138" s="110"/>
      <c r="B138" s="362" t="s">
        <v>920</v>
      </c>
      <c r="C138" s="362"/>
      <c r="D138" s="362"/>
      <c r="E138" s="351"/>
      <c r="F138" s="351"/>
      <c r="G138" s="352">
        <v>772151</v>
      </c>
      <c r="H138" s="374"/>
      <c r="I138" s="352">
        <v>0</v>
      </c>
      <c r="J138" s="384"/>
      <c r="K138" s="1">
        <f>G136-I137</f>
        <v>2729253</v>
      </c>
      <c r="L138" s="1">
        <v>41985</v>
      </c>
    </row>
    <row r="139" spans="1:12" ht="17.25" customHeight="1" thickBot="1">
      <c r="A139" s="110"/>
      <c r="B139" s="110"/>
      <c r="C139" s="110"/>
      <c r="D139" s="110"/>
      <c r="E139" s="110"/>
      <c r="F139" s="110"/>
      <c r="G139" s="392">
        <f>SUM(G108:G138)</f>
        <v>150884502.87</v>
      </c>
      <c r="H139" s="75"/>
      <c r="I139" s="392">
        <f>SUM(I108:I138)</f>
        <v>150494545.53</v>
      </c>
      <c r="J139" s="374"/>
      <c r="K139" s="1">
        <f>G137-I137</f>
        <v>70028</v>
      </c>
    </row>
    <row r="140" spans="1:12" ht="15.75" thickTop="1">
      <c r="A140" s="110"/>
      <c r="B140" s="110"/>
      <c r="C140" s="110"/>
      <c r="D140" s="110"/>
      <c r="E140" s="110"/>
      <c r="F140" s="110"/>
      <c r="G140" s="365"/>
      <c r="H140" s="75"/>
      <c r="I140" s="365"/>
      <c r="J140" s="374"/>
      <c r="K140" s="1">
        <f t="shared" si="0"/>
        <v>772151</v>
      </c>
    </row>
    <row r="141" spans="1:12">
      <c r="A141" s="366">
        <v>39</v>
      </c>
      <c r="B141" s="17" t="s">
        <v>39</v>
      </c>
      <c r="C141" s="17"/>
      <c r="D141" s="17"/>
      <c r="E141" s="17"/>
      <c r="F141" s="17"/>
      <c r="G141" s="388">
        <f>23551827+335147177+163928329+104000000+4175268</f>
        <v>630802601</v>
      </c>
      <c r="J141" s="217"/>
      <c r="K141" s="1">
        <f>SUM(K110:K140)</f>
        <v>-62646.660000015981</v>
      </c>
    </row>
    <row r="142" spans="1:12">
      <c r="A142" s="110"/>
      <c r="B142" s="110"/>
      <c r="C142" s="110"/>
      <c r="D142" s="110"/>
      <c r="E142" s="110"/>
      <c r="F142" s="110"/>
      <c r="G142" s="110"/>
      <c r="H142" s="110"/>
      <c r="I142" s="110"/>
      <c r="J142" s="267"/>
    </row>
    <row r="143" spans="1:12">
      <c r="A143" s="110"/>
      <c r="B143" s="364" t="s">
        <v>760</v>
      </c>
      <c r="C143" s="364"/>
      <c r="D143" s="364"/>
      <c r="E143" s="404"/>
      <c r="F143" s="363"/>
      <c r="G143" s="385" t="e">
        <f>#REF!</f>
        <v>#REF!</v>
      </c>
      <c r="H143" s="363"/>
      <c r="I143" s="385">
        <v>132215808.59999999</v>
      </c>
      <c r="J143" s="371"/>
    </row>
    <row r="144" spans="1:12">
      <c r="A144" s="110"/>
      <c r="B144" s="364" t="s">
        <v>756</v>
      </c>
      <c r="C144" s="364"/>
      <c r="D144" s="364"/>
      <c r="E144" s="363"/>
      <c r="F144" s="363"/>
      <c r="G144" s="385">
        <v>132215809</v>
      </c>
      <c r="H144" s="363"/>
      <c r="I144" s="385">
        <v>96451829</v>
      </c>
      <c r="J144" s="371"/>
    </row>
    <row r="145" spans="1:10" ht="15.75" thickBot="1">
      <c r="A145" s="110"/>
      <c r="B145" s="364"/>
      <c r="C145" s="364"/>
      <c r="D145" s="364"/>
      <c r="E145" s="363"/>
      <c r="F145" s="363"/>
      <c r="G145" s="386" t="e">
        <f>G143-G144</f>
        <v>#REF!</v>
      </c>
      <c r="H145" s="385"/>
      <c r="I145" s="386">
        <v>35763979.599999994</v>
      </c>
      <c r="J145" s="371"/>
    </row>
    <row r="146" spans="1:10" ht="15.75" thickTop="1">
      <c r="A146" s="110"/>
      <c r="B146" s="364"/>
      <c r="C146" s="364"/>
      <c r="D146" s="364"/>
      <c r="E146" s="363"/>
      <c r="F146" s="363"/>
      <c r="G146" s="363"/>
      <c r="H146" s="363"/>
      <c r="I146" s="363"/>
      <c r="J146" s="371"/>
    </row>
    <row r="147" spans="1:10">
      <c r="A147" s="110"/>
      <c r="B147" s="808" t="s">
        <v>851</v>
      </c>
      <c r="C147" s="808"/>
      <c r="D147" s="808"/>
      <c r="E147" s="808"/>
      <c r="F147" s="808"/>
      <c r="G147" s="808"/>
      <c r="H147" s="808"/>
      <c r="I147" s="808"/>
      <c r="J147" s="808"/>
    </row>
    <row r="148" spans="1:10">
      <c r="A148" s="110"/>
      <c r="B148" s="409"/>
      <c r="C148" s="409"/>
      <c r="D148" s="409"/>
      <c r="E148" s="409"/>
      <c r="F148" s="409"/>
      <c r="G148" s="409"/>
      <c r="H148" s="409"/>
      <c r="I148" s="409"/>
      <c r="J148" s="410"/>
    </row>
    <row r="149" spans="1:10">
      <c r="A149" s="110"/>
      <c r="B149" s="409"/>
      <c r="C149" s="409"/>
      <c r="D149" s="409"/>
      <c r="E149" s="409"/>
      <c r="F149" s="409"/>
      <c r="G149" s="409"/>
      <c r="H149" s="409"/>
      <c r="I149" s="409"/>
      <c r="J149" s="410"/>
    </row>
    <row r="150" spans="1:10">
      <c r="A150" s="110"/>
      <c r="B150" s="409"/>
      <c r="C150" s="409"/>
      <c r="D150" s="409"/>
      <c r="E150" s="409"/>
      <c r="F150" s="409"/>
      <c r="G150" s="409"/>
      <c r="H150" s="409"/>
      <c r="I150" s="409"/>
      <c r="J150" s="410"/>
    </row>
    <row r="151" spans="1:10">
      <c r="A151" s="110"/>
      <c r="B151" s="409"/>
      <c r="C151" s="409"/>
      <c r="D151" s="409"/>
      <c r="E151" s="409"/>
      <c r="F151" s="409"/>
      <c r="G151" s="409"/>
      <c r="H151" s="409"/>
      <c r="I151" s="409"/>
      <c r="J151" s="410"/>
    </row>
    <row r="152" spans="1:10">
      <c r="A152" s="110"/>
      <c r="B152" s="409"/>
      <c r="C152" s="409"/>
      <c r="D152" s="409"/>
      <c r="E152" s="409"/>
      <c r="F152" s="409"/>
      <c r="G152" s="409"/>
      <c r="H152" s="409"/>
      <c r="I152" s="409"/>
      <c r="J152" s="410"/>
    </row>
    <row r="153" spans="1:10">
      <c r="A153" s="110"/>
      <c r="B153" s="409"/>
      <c r="C153" s="409"/>
      <c r="D153" s="409"/>
      <c r="E153" s="409"/>
      <c r="F153" s="409"/>
      <c r="G153" s="409"/>
      <c r="H153" s="409"/>
      <c r="I153" s="409"/>
      <c r="J153" s="410"/>
    </row>
    <row r="154" spans="1:10">
      <c r="A154" s="110"/>
      <c r="B154" s="409"/>
      <c r="C154" s="409"/>
      <c r="D154" s="409"/>
      <c r="E154" s="409"/>
      <c r="F154" s="409"/>
      <c r="G154" s="409"/>
      <c r="H154" s="409"/>
      <c r="I154" s="409"/>
      <c r="J154" s="410"/>
    </row>
    <row r="155" spans="1:10">
      <c r="A155" s="110"/>
      <c r="B155" s="409"/>
      <c r="C155" s="409"/>
      <c r="D155" s="409"/>
      <c r="E155" s="409"/>
      <c r="F155" s="409"/>
      <c r="G155" s="409"/>
      <c r="H155" s="409"/>
      <c r="I155" s="409"/>
      <c r="J155" s="410"/>
    </row>
    <row r="156" spans="1:10">
      <c r="A156" s="110"/>
      <c r="B156" s="409"/>
      <c r="C156" s="409"/>
      <c r="D156" s="409"/>
      <c r="E156" s="409"/>
      <c r="F156" s="409"/>
      <c r="G156" s="409"/>
      <c r="H156" s="409"/>
      <c r="I156" s="409"/>
      <c r="J156" s="410"/>
    </row>
    <row r="157" spans="1:10">
      <c r="A157" s="110"/>
      <c r="B157" s="409"/>
      <c r="C157" s="409"/>
      <c r="D157" s="409"/>
      <c r="E157" s="409"/>
      <c r="F157" s="409"/>
      <c r="G157" s="409"/>
      <c r="H157" s="409"/>
      <c r="I157" s="409"/>
      <c r="J157" s="410"/>
    </row>
    <row r="158" spans="1:10">
      <c r="A158" s="110"/>
      <c r="B158" s="409"/>
      <c r="C158" s="409"/>
      <c r="D158" s="409"/>
      <c r="E158" s="409"/>
      <c r="F158" s="409"/>
      <c r="G158" s="409"/>
      <c r="H158" s="409"/>
      <c r="I158" s="409"/>
      <c r="J158" s="410"/>
    </row>
    <row r="159" spans="1:10">
      <c r="A159" s="110"/>
      <c r="B159" s="409"/>
      <c r="C159" s="409"/>
      <c r="D159" s="409"/>
      <c r="E159" s="409"/>
      <c r="F159" s="409"/>
      <c r="G159" s="409"/>
      <c r="H159" s="409"/>
      <c r="I159" s="409"/>
      <c r="J159" s="410"/>
    </row>
    <row r="160" spans="1:10" ht="15.75" thickBot="1">
      <c r="A160" s="366">
        <v>40</v>
      </c>
      <c r="B160" s="4" t="s">
        <v>21</v>
      </c>
      <c r="C160" s="4"/>
      <c r="D160" s="4"/>
      <c r="E160" s="92"/>
      <c r="F160" s="110"/>
      <c r="G160" s="150" t="e">
        <f>#REF!-'N-26-47 (2)-Tax'!G80+#REF!</f>
        <v>#REF!</v>
      </c>
      <c r="H160" s="110"/>
      <c r="I160" s="150">
        <v>10540123</v>
      </c>
      <c r="J160" s="267"/>
    </row>
    <row r="161" spans="1:10" ht="12" customHeight="1" thickTop="1">
      <c r="A161" s="110"/>
      <c r="B161" s="110"/>
      <c r="C161" s="110"/>
      <c r="D161" s="110"/>
      <c r="E161" s="110"/>
      <c r="F161" s="110"/>
      <c r="G161" s="110"/>
      <c r="H161" s="110"/>
      <c r="I161" s="110"/>
      <c r="J161" s="267"/>
    </row>
    <row r="162" spans="1:10" ht="16.5" customHeight="1">
      <c r="A162" s="110"/>
      <c r="B162" s="808" t="s">
        <v>853</v>
      </c>
      <c r="C162" s="808"/>
      <c r="D162" s="808"/>
      <c r="E162" s="808"/>
      <c r="F162" s="808"/>
      <c r="G162" s="808"/>
      <c r="H162" s="808"/>
      <c r="I162" s="808"/>
      <c r="J162" s="808"/>
    </row>
    <row r="163" spans="1:10">
      <c r="A163" s="110"/>
      <c r="B163" s="808"/>
      <c r="C163" s="808"/>
      <c r="D163" s="808"/>
      <c r="E163" s="808"/>
      <c r="F163" s="808"/>
      <c r="G163" s="808"/>
      <c r="H163" s="808"/>
      <c r="I163" s="808"/>
      <c r="J163" s="808"/>
    </row>
    <row r="164" spans="1:10">
      <c r="A164" s="110"/>
      <c r="B164" s="808"/>
      <c r="C164" s="808"/>
      <c r="D164" s="808"/>
      <c r="E164" s="808"/>
      <c r="F164" s="808"/>
      <c r="G164" s="808"/>
      <c r="H164" s="808"/>
      <c r="I164" s="808"/>
      <c r="J164" s="808"/>
    </row>
    <row r="165" spans="1:10">
      <c r="A165" s="110"/>
      <c r="B165" s="808"/>
      <c r="C165" s="808"/>
      <c r="D165" s="808"/>
      <c r="E165" s="808"/>
      <c r="F165" s="808"/>
      <c r="G165" s="808"/>
      <c r="H165" s="808"/>
      <c r="I165" s="808"/>
      <c r="J165" s="808"/>
    </row>
    <row r="166" spans="1:10">
      <c r="A166" s="110"/>
      <c r="B166" s="808"/>
      <c r="C166" s="808"/>
      <c r="D166" s="808"/>
      <c r="E166" s="808"/>
      <c r="F166" s="808"/>
      <c r="G166" s="808"/>
      <c r="H166" s="808"/>
      <c r="I166" s="808"/>
      <c r="J166" s="808"/>
    </row>
    <row r="167" spans="1:10" ht="54.75" customHeight="1">
      <c r="A167" s="110"/>
      <c r="B167" s="808"/>
      <c r="C167" s="808"/>
      <c r="D167" s="808"/>
      <c r="E167" s="808"/>
      <c r="F167" s="808"/>
      <c r="G167" s="808"/>
      <c r="H167" s="808"/>
      <c r="I167" s="808"/>
      <c r="J167" s="808"/>
    </row>
    <row r="168" spans="1:10" ht="12" hidden="1" customHeight="1">
      <c r="A168" s="110"/>
      <c r="B168" s="808"/>
      <c r="C168" s="808"/>
      <c r="D168" s="808"/>
      <c r="E168" s="808"/>
      <c r="F168" s="808"/>
      <c r="G168" s="808"/>
      <c r="H168" s="808"/>
      <c r="I168" s="808"/>
      <c r="J168" s="808"/>
    </row>
    <row r="169" spans="1:10" ht="12" customHeight="1">
      <c r="A169" s="110"/>
      <c r="B169" s="409"/>
      <c r="C169" s="409"/>
      <c r="D169" s="409"/>
      <c r="E169" s="409"/>
      <c r="F169" s="409"/>
      <c r="G169" s="409"/>
      <c r="H169" s="409"/>
      <c r="I169" s="409"/>
      <c r="J169" s="409"/>
    </row>
    <row r="170" spans="1:10">
      <c r="A170" s="366">
        <v>41</v>
      </c>
      <c r="B170" s="1" t="s">
        <v>35</v>
      </c>
    </row>
    <row r="171" spans="1:10" ht="9.75" customHeight="1">
      <c r="A171" s="110"/>
      <c r="B171" s="110"/>
      <c r="C171" s="110"/>
      <c r="D171" s="110"/>
      <c r="E171" s="110"/>
      <c r="F171" s="110"/>
      <c r="G171" s="110"/>
      <c r="H171" s="110"/>
      <c r="I171" s="110"/>
      <c r="J171" s="267"/>
    </row>
    <row r="172" spans="1:10">
      <c r="A172" s="110"/>
      <c r="B172" s="4" t="s">
        <v>343</v>
      </c>
      <c r="C172" s="4"/>
      <c r="D172" s="4"/>
      <c r="E172" s="9"/>
      <c r="F172" s="4"/>
      <c r="G172" s="19">
        <f>446324.57+34100+427000</f>
        <v>907424.57000000007</v>
      </c>
      <c r="H172" s="267"/>
      <c r="I172" s="19">
        <v>373434</v>
      </c>
      <c r="J172" s="345"/>
    </row>
    <row r="173" spans="1:10">
      <c r="A173" s="110"/>
      <c r="B173" s="4" t="s">
        <v>845</v>
      </c>
      <c r="C173" s="4"/>
      <c r="D173" s="4"/>
      <c r="E173" s="9"/>
      <c r="F173" s="4"/>
      <c r="G173" s="11">
        <f>1635946.79+52362844.61</f>
        <v>53998791.399999999</v>
      </c>
      <c r="H173" s="267"/>
      <c r="I173" s="11">
        <v>34675484</v>
      </c>
      <c r="J173" s="345"/>
    </row>
    <row r="174" spans="1:10">
      <c r="A174" s="110"/>
      <c r="B174" s="4" t="s">
        <v>345</v>
      </c>
      <c r="C174" s="4"/>
      <c r="D174" s="4"/>
      <c r="E174" s="9"/>
      <c r="F174" s="4"/>
      <c r="G174" s="132">
        <f>1038235</f>
        <v>1038235</v>
      </c>
      <c r="H174" s="267"/>
      <c r="I174" s="132">
        <v>1197024</v>
      </c>
      <c r="J174" s="345"/>
    </row>
    <row r="175" spans="1:10" ht="15.75" thickBot="1">
      <c r="A175" s="110"/>
      <c r="B175" s="110"/>
      <c r="C175" s="110"/>
      <c r="D175" s="110"/>
      <c r="E175" s="9"/>
      <c r="F175" s="110"/>
      <c r="G175" s="150">
        <f>SUM(G172:G174)</f>
        <v>55944450.969999999</v>
      </c>
      <c r="H175" s="110"/>
      <c r="I175" s="150">
        <f>SUM(I172:I174)</f>
        <v>36245942</v>
      </c>
      <c r="J175" s="267"/>
    </row>
    <row r="176" spans="1:10" ht="15.75" thickTop="1">
      <c r="A176" s="110"/>
      <c r="B176" s="110"/>
      <c r="C176" s="110"/>
      <c r="D176" s="110"/>
      <c r="E176" s="9"/>
      <c r="F176" s="110"/>
      <c r="G176" s="110"/>
      <c r="H176" s="110"/>
      <c r="I176" s="110"/>
      <c r="J176" s="267"/>
    </row>
    <row r="177" spans="1:11">
      <c r="A177" s="366">
        <v>42</v>
      </c>
      <c r="B177" s="110" t="s">
        <v>632</v>
      </c>
      <c r="C177" s="110"/>
      <c r="D177" s="110"/>
      <c r="E177" s="267"/>
      <c r="F177" s="110"/>
      <c r="G177" s="110"/>
      <c r="H177" s="110"/>
      <c r="I177" s="110"/>
      <c r="J177" s="267"/>
    </row>
    <row r="178" spans="1:11">
      <c r="A178" s="110"/>
      <c r="B178" s="110"/>
      <c r="C178" s="110"/>
      <c r="D178" s="110"/>
      <c r="E178" s="110"/>
      <c r="F178" s="110"/>
      <c r="G178" s="110"/>
      <c r="H178" s="110"/>
      <c r="I178" s="110"/>
      <c r="J178" s="267"/>
    </row>
    <row r="179" spans="1:11">
      <c r="A179" s="110"/>
      <c r="B179" s="110" t="s">
        <v>656</v>
      </c>
      <c r="C179" s="110"/>
      <c r="D179" s="358"/>
      <c r="E179" s="367" t="s">
        <v>805</v>
      </c>
      <c r="F179" s="110"/>
      <c r="G179" s="9">
        <v>40150006</v>
      </c>
      <c r="H179" s="267"/>
      <c r="I179" s="9">
        <v>29474880</v>
      </c>
      <c r="J179" s="267"/>
    </row>
    <row r="180" spans="1:11">
      <c r="A180" s="110"/>
      <c r="B180" s="1" t="s">
        <v>927</v>
      </c>
      <c r="F180" s="110"/>
      <c r="G180" s="254">
        <v>0</v>
      </c>
      <c r="H180" s="267"/>
      <c r="I180" s="254">
        <v>2574226</v>
      </c>
      <c r="J180" s="267"/>
    </row>
    <row r="181" spans="1:11">
      <c r="A181" s="110"/>
      <c r="B181" s="1" t="s">
        <v>797</v>
      </c>
      <c r="F181" s="110"/>
      <c r="G181" s="9">
        <f>SUM(G179:G180)</f>
        <v>40150006</v>
      </c>
      <c r="H181" s="267"/>
      <c r="I181" s="9">
        <f>SUM(I179:I180)</f>
        <v>32049106</v>
      </c>
      <c r="J181" s="267"/>
    </row>
    <row r="182" spans="1:11">
      <c r="A182" s="110"/>
      <c r="B182" s="110" t="s">
        <v>747</v>
      </c>
      <c r="C182" s="110"/>
      <c r="D182" s="110"/>
      <c r="E182" s="367"/>
      <c r="F182" s="110"/>
      <c r="G182" s="254">
        <v>35974738</v>
      </c>
      <c r="H182" s="267"/>
      <c r="I182" s="254">
        <v>40150006</v>
      </c>
      <c r="J182" s="267"/>
    </row>
    <row r="183" spans="1:11" ht="15.75" thickBot="1">
      <c r="A183" s="110"/>
      <c r="B183" s="110" t="s">
        <v>798</v>
      </c>
      <c r="C183" s="110"/>
      <c r="D183" s="110"/>
      <c r="E183" s="367"/>
      <c r="F183" s="110"/>
      <c r="G183" s="150">
        <f>G182-G181</f>
        <v>-4175268</v>
      </c>
      <c r="H183" s="110"/>
      <c r="I183" s="150">
        <f>I182-I181</f>
        <v>8100900</v>
      </c>
      <c r="J183" s="267"/>
    </row>
    <row r="184" spans="1:11" ht="12.75" customHeight="1" thickTop="1">
      <c r="A184" s="110"/>
      <c r="C184" s="110"/>
      <c r="D184" s="110"/>
      <c r="E184" s="367"/>
      <c r="F184" s="110"/>
      <c r="G184" s="110"/>
      <c r="H184" s="110"/>
      <c r="I184" s="110"/>
      <c r="J184" s="267"/>
    </row>
    <row r="185" spans="1:11" ht="12.75" customHeight="1">
      <c r="A185" s="110"/>
      <c r="C185" s="110"/>
      <c r="D185" s="110"/>
      <c r="E185" s="367"/>
      <c r="F185" s="110"/>
      <c r="G185" s="110"/>
      <c r="H185" s="110"/>
      <c r="I185" s="110"/>
      <c r="J185" s="267"/>
      <c r="K185" s="1">
        <f>G179-4175268</f>
        <v>35974738</v>
      </c>
    </row>
    <row r="186" spans="1:11" ht="15.75" thickBot="1">
      <c r="A186" s="366">
        <v>43</v>
      </c>
      <c r="B186" s="353" t="s">
        <v>605</v>
      </c>
      <c r="C186" s="110"/>
      <c r="D186" s="110"/>
      <c r="E186" s="110"/>
      <c r="F186" s="110"/>
      <c r="G186" s="150" t="e">
        <f>SOPL!#REF!</f>
        <v>#REF!</v>
      </c>
      <c r="H186" s="9"/>
      <c r="I186" s="150">
        <v>79419651</v>
      </c>
      <c r="J186" s="267"/>
    </row>
    <row r="187" spans="1:11" ht="15.75" thickTop="1">
      <c r="B187" s="1" t="s">
        <v>876</v>
      </c>
      <c r="J187" s="267"/>
    </row>
    <row r="188" spans="1:11">
      <c r="A188" s="366"/>
      <c r="B188" s="353"/>
      <c r="C188" s="110"/>
      <c r="D188" s="110"/>
      <c r="E188" s="110"/>
      <c r="F188" s="110"/>
      <c r="G188" s="110"/>
      <c r="H188" s="110"/>
      <c r="I188" s="110"/>
      <c r="J188" s="267"/>
    </row>
    <row r="189" spans="1:11">
      <c r="A189" s="369">
        <v>44</v>
      </c>
      <c r="B189" s="353" t="s">
        <v>566</v>
      </c>
      <c r="C189" s="353"/>
      <c r="D189" s="353"/>
      <c r="E189" s="110"/>
      <c r="F189" s="110"/>
      <c r="G189" s="110"/>
      <c r="H189" s="110"/>
      <c r="I189" s="110"/>
      <c r="J189" s="267"/>
    </row>
    <row r="190" spans="1:11">
      <c r="A190" s="110"/>
      <c r="B190" s="110"/>
      <c r="C190" s="110"/>
      <c r="D190" s="110"/>
      <c r="E190" s="110"/>
      <c r="F190" s="110"/>
      <c r="G190" s="110"/>
      <c r="H190" s="110"/>
      <c r="I190" s="110"/>
      <c r="J190" s="267"/>
    </row>
    <row r="191" spans="1:11">
      <c r="A191" s="110"/>
      <c r="B191" s="110" t="s">
        <v>657</v>
      </c>
      <c r="C191" s="110"/>
      <c r="D191" s="110"/>
      <c r="E191" s="367" t="s">
        <v>804</v>
      </c>
      <c r="F191" s="110"/>
      <c r="G191" s="9">
        <f>'N-4-24-007'!I334</f>
        <v>342815910.5</v>
      </c>
      <c r="H191" s="110"/>
      <c r="I191" s="9">
        <v>146703882</v>
      </c>
      <c r="J191" s="267"/>
    </row>
    <row r="192" spans="1:11">
      <c r="A192" s="110"/>
      <c r="B192" s="110" t="s">
        <v>658</v>
      </c>
      <c r="C192" s="110"/>
      <c r="D192" s="110"/>
      <c r="E192" s="110"/>
      <c r="F192" s="110"/>
      <c r="G192" s="254" t="e">
        <f>'N-4-24-007'!#REF!</f>
        <v>#REF!</v>
      </c>
      <c r="H192" s="110"/>
      <c r="I192" s="9">
        <v>154841380</v>
      </c>
      <c r="J192" s="267"/>
    </row>
    <row r="193" spans="1:10" ht="15.75" thickBot="1">
      <c r="A193" s="110"/>
      <c r="B193" s="110" t="s">
        <v>566</v>
      </c>
      <c r="C193" s="110"/>
      <c r="D193" s="110"/>
      <c r="E193" s="110"/>
      <c r="F193" s="110"/>
      <c r="G193" s="114" t="e">
        <f>G191-G192</f>
        <v>#REF!</v>
      </c>
      <c r="H193" s="110"/>
      <c r="I193" s="114">
        <f>I191-I192</f>
        <v>-8137498</v>
      </c>
      <c r="J193" s="267"/>
    </row>
    <row r="194" spans="1:10" ht="15.75" thickTop="1"/>
    <row r="195" spans="1:10">
      <c r="A195" s="369">
        <v>45</v>
      </c>
      <c r="B195" s="364" t="s">
        <v>775</v>
      </c>
      <c r="C195" s="364"/>
      <c r="D195" s="364"/>
      <c r="E195" s="110"/>
      <c r="F195" s="110"/>
      <c r="G195" s="110"/>
      <c r="H195" s="110"/>
      <c r="I195" s="110"/>
      <c r="J195" s="267"/>
    </row>
    <row r="196" spans="1:10">
      <c r="A196" s="367"/>
      <c r="B196" s="110"/>
      <c r="C196" s="110"/>
      <c r="D196" s="110"/>
      <c r="E196" s="110"/>
      <c r="F196" s="110"/>
      <c r="G196" s="110"/>
      <c r="H196" s="110"/>
      <c r="I196" s="110"/>
      <c r="J196" s="267"/>
    </row>
    <row r="197" spans="1:10" ht="16.5" customHeight="1">
      <c r="A197" s="367"/>
      <c r="B197" s="808" t="s">
        <v>799</v>
      </c>
      <c r="C197" s="808"/>
      <c r="D197" s="808"/>
      <c r="E197" s="808"/>
      <c r="F197" s="808"/>
      <c r="G197" s="5" t="e">
        <f>SOPL!#REF!</f>
        <v>#REF!</v>
      </c>
      <c r="H197" s="5"/>
      <c r="I197" s="5" t="e">
        <f>SOPL!#REF!</f>
        <v>#REF!</v>
      </c>
      <c r="J197" s="267"/>
    </row>
    <row r="198" spans="1:10" ht="36" customHeight="1">
      <c r="A198" s="367"/>
      <c r="B198" s="808" t="s">
        <v>928</v>
      </c>
      <c r="C198" s="808"/>
      <c r="D198" s="808"/>
      <c r="E198" s="808"/>
      <c r="F198" s="808"/>
      <c r="G198" s="254">
        <v>164905510</v>
      </c>
      <c r="H198" s="5"/>
      <c r="I198" s="254">
        <v>164905510</v>
      </c>
      <c r="J198" s="267"/>
    </row>
    <row r="199" spans="1:10" ht="15.75" thickBot="1">
      <c r="A199" s="110"/>
      <c r="B199" s="364" t="s">
        <v>803</v>
      </c>
      <c r="C199" s="110"/>
      <c r="D199" s="110"/>
      <c r="E199" s="111"/>
      <c r="F199" s="111"/>
      <c r="G199" s="252" t="e">
        <f>G197/G198</f>
        <v>#REF!</v>
      </c>
      <c r="H199" s="365"/>
      <c r="I199" s="387" t="e">
        <f>I197/I198</f>
        <v>#REF!</v>
      </c>
      <c r="J199" s="111"/>
    </row>
    <row r="200" spans="1:10" ht="15.75" thickTop="1">
      <c r="A200" s="110"/>
      <c r="B200" s="269"/>
      <c r="C200" s="269"/>
      <c r="D200" s="269"/>
      <c r="E200" s="269"/>
      <c r="F200" s="269"/>
      <c r="G200" s="269"/>
      <c r="H200" s="269"/>
      <c r="I200" s="269"/>
      <c r="J200" s="269"/>
    </row>
    <row r="201" spans="1:10" ht="25.5" customHeight="1">
      <c r="A201" s="367">
        <v>45.1</v>
      </c>
      <c r="B201" s="808" t="s">
        <v>901</v>
      </c>
      <c r="C201" s="808"/>
      <c r="D201" s="808"/>
      <c r="E201" s="808"/>
      <c r="F201" s="808"/>
      <c r="G201" s="808"/>
      <c r="H201" s="808"/>
      <c r="I201" s="808"/>
      <c r="J201" s="808"/>
    </row>
    <row r="202" spans="1:10">
      <c r="A202" s="110"/>
      <c r="B202" s="808"/>
      <c r="C202" s="808"/>
      <c r="D202" s="808"/>
      <c r="E202" s="808"/>
      <c r="F202" s="808"/>
      <c r="G202" s="808"/>
      <c r="H202" s="808"/>
      <c r="I202" s="808"/>
      <c r="J202" s="808"/>
    </row>
    <row r="203" spans="1:10">
      <c r="A203" s="110"/>
      <c r="B203" s="408"/>
      <c r="C203" s="408"/>
      <c r="D203" s="408"/>
      <c r="E203" s="408"/>
      <c r="F203" s="408"/>
      <c r="G203" s="408"/>
      <c r="H203" s="408"/>
      <c r="I203" s="408"/>
      <c r="J203" s="269"/>
    </row>
    <row r="204" spans="1:10">
      <c r="A204" s="110"/>
      <c r="B204" s="408"/>
      <c r="C204" s="408"/>
      <c r="D204" s="408"/>
      <c r="E204" s="408"/>
      <c r="F204" s="408"/>
      <c r="J204" s="269"/>
    </row>
    <row r="205" spans="1:10">
      <c r="A205" s="110"/>
      <c r="B205" s="408"/>
      <c r="C205" s="408"/>
      <c r="D205" s="408"/>
      <c r="E205" s="408"/>
      <c r="F205" s="408"/>
      <c r="J205" s="269"/>
    </row>
    <row r="206" spans="1:10">
      <c r="A206" s="110"/>
      <c r="B206" s="408"/>
      <c r="C206" s="408"/>
      <c r="D206" s="408"/>
      <c r="E206" s="408"/>
      <c r="F206" s="408"/>
      <c r="J206" s="269"/>
    </row>
    <row r="207" spans="1:10">
      <c r="A207" s="110"/>
      <c r="B207" s="408"/>
      <c r="C207" s="408"/>
      <c r="D207" s="408"/>
      <c r="E207" s="408"/>
      <c r="F207" s="408"/>
      <c r="G207" s="808" t="s">
        <v>138</v>
      </c>
      <c r="H207" s="808"/>
      <c r="I207" s="808"/>
      <c r="J207" s="269"/>
    </row>
    <row r="208" spans="1:10">
      <c r="A208" s="53">
        <v>46</v>
      </c>
      <c r="B208" s="348" t="s">
        <v>794</v>
      </c>
      <c r="G208" s="413" t="s">
        <v>926</v>
      </c>
      <c r="H208" s="411"/>
      <c r="I208" s="413" t="s">
        <v>829</v>
      </c>
    </row>
    <row r="209" spans="1:10">
      <c r="B209" s="348"/>
    </row>
    <row r="210" spans="1:10">
      <c r="B210" s="348" t="s">
        <v>795</v>
      </c>
      <c r="G210" s="14" t="e">
        <f>SOFP!#REF!</f>
        <v>#REF!</v>
      </c>
      <c r="H210" s="14"/>
      <c r="I210" s="14" t="e">
        <f>SOFP!#REF!</f>
        <v>#REF!</v>
      </c>
    </row>
    <row r="211" spans="1:10">
      <c r="B211" s="348" t="s">
        <v>811</v>
      </c>
      <c r="G211" s="16" t="e">
        <f>SOFP!#REF!</f>
        <v>#REF!</v>
      </c>
      <c r="H211" s="14"/>
      <c r="I211" s="16" t="e">
        <f>SOFP!#REF!</f>
        <v>#REF!</v>
      </c>
    </row>
    <row r="212" spans="1:10">
      <c r="G212" s="14" t="e">
        <f>G210-G211</f>
        <v>#REF!</v>
      </c>
      <c r="H212" s="14"/>
      <c r="I212" s="14" t="e">
        <f>I210-I211+0.35</f>
        <v>#REF!</v>
      </c>
    </row>
    <row r="213" spans="1:10" ht="8.25" customHeight="1">
      <c r="G213" s="14"/>
      <c r="H213" s="14"/>
      <c r="I213" s="14"/>
    </row>
    <row r="214" spans="1:10">
      <c r="B214" s="1" t="s">
        <v>852</v>
      </c>
      <c r="G214" s="14">
        <v>164905510</v>
      </c>
      <c r="H214" s="14"/>
      <c r="I214" s="14">
        <v>164905510</v>
      </c>
    </row>
    <row r="215" spans="1:10">
      <c r="G215" s="14"/>
      <c r="H215" s="14"/>
      <c r="I215" s="14"/>
    </row>
    <row r="216" spans="1:10" ht="15.75" thickBot="1">
      <c r="B216" s="348" t="s">
        <v>796</v>
      </c>
      <c r="G216" s="414" t="e">
        <f>G212/G214</f>
        <v>#REF!</v>
      </c>
      <c r="H216" s="14"/>
      <c r="I216" s="414" t="e">
        <f>I212/I214</f>
        <v>#REF!</v>
      </c>
    </row>
    <row r="217" spans="1:10" ht="15.75" thickTop="1">
      <c r="B217" s="348"/>
    </row>
    <row r="218" spans="1:10">
      <c r="A218" s="109">
        <v>47</v>
      </c>
      <c r="B218" s="1" t="s">
        <v>633</v>
      </c>
      <c r="C218" s="110"/>
      <c r="D218" s="110"/>
      <c r="E218" s="110"/>
      <c r="F218" s="110"/>
      <c r="G218" s="110"/>
      <c r="H218" s="110"/>
      <c r="I218" s="110"/>
      <c r="J218" s="267"/>
    </row>
    <row r="219" spans="1:10">
      <c r="A219" s="110"/>
      <c r="B219" s="110"/>
      <c r="C219" s="110"/>
      <c r="D219" s="110"/>
      <c r="E219" s="110"/>
      <c r="F219" s="110"/>
      <c r="G219" s="110"/>
      <c r="H219" s="110"/>
      <c r="I219" s="110"/>
      <c r="J219" s="267"/>
    </row>
    <row r="220" spans="1:10">
      <c r="A220" s="110"/>
      <c r="B220" s="1" t="s">
        <v>634</v>
      </c>
      <c r="C220" s="110"/>
      <c r="D220" s="110"/>
      <c r="E220" s="110"/>
      <c r="F220" s="110"/>
      <c r="G220" s="5">
        <f>CF!I17</f>
        <v>365461268.22999954</v>
      </c>
      <c r="H220" s="14"/>
      <c r="I220" s="5">
        <f>CF!K17</f>
        <v>261784917.5</v>
      </c>
      <c r="J220" s="267"/>
    </row>
    <row r="221" spans="1:10">
      <c r="A221" s="110"/>
      <c r="B221" s="353" t="str">
        <f>B214</f>
        <v>Number of Ordinary Shares of Tk. 10 each at Financial Position date</v>
      </c>
      <c r="C221" s="364"/>
      <c r="D221" s="364"/>
      <c r="E221" s="405"/>
      <c r="F221" s="110"/>
      <c r="G221" s="9">
        <f>G198</f>
        <v>164905510</v>
      </c>
      <c r="H221" s="14"/>
      <c r="I221" s="9">
        <f>I198</f>
        <v>164905510</v>
      </c>
      <c r="J221" s="267"/>
    </row>
    <row r="222" spans="1:10" ht="15.75" thickBot="1">
      <c r="A222" s="110"/>
      <c r="B222" s="1" t="s">
        <v>633</v>
      </c>
      <c r="C222" s="110"/>
      <c r="D222" s="110"/>
      <c r="E222" s="111"/>
      <c r="F222" s="111"/>
      <c r="G222" s="252">
        <f>G220/G221</f>
        <v>2.2161859129509955</v>
      </c>
      <c r="H222" s="14"/>
      <c r="I222" s="387">
        <f>I220/I221</f>
        <v>1.5874843569508381</v>
      </c>
      <c r="J222" s="111"/>
    </row>
    <row r="223" spans="1:10" ht="15.75" thickTop="1"/>
    <row r="224" spans="1:10">
      <c r="A224" s="366">
        <v>48</v>
      </c>
      <c r="B224" s="364" t="s">
        <v>929</v>
      </c>
      <c r="C224" s="364"/>
      <c r="D224" s="364"/>
      <c r="E224" s="110"/>
      <c r="F224" s="110"/>
      <c r="G224" s="110"/>
      <c r="H224" s="110"/>
      <c r="I224" s="110"/>
    </row>
    <row r="225" spans="1:9">
      <c r="A225" s="367"/>
      <c r="B225" s="110"/>
      <c r="C225" s="110"/>
      <c r="D225" s="110"/>
      <c r="E225" s="110"/>
      <c r="F225" s="110"/>
      <c r="G225" s="110"/>
      <c r="H225" s="110"/>
      <c r="I225" s="110"/>
    </row>
    <row r="226" spans="1:9">
      <c r="A226" s="110"/>
      <c r="B226" s="808" t="s">
        <v>930</v>
      </c>
      <c r="C226" s="808"/>
      <c r="D226" s="808"/>
      <c r="E226" s="808"/>
      <c r="F226" s="808"/>
      <c r="G226" s="808"/>
      <c r="H226" s="808"/>
      <c r="I226" s="808"/>
    </row>
    <row r="227" spans="1:9">
      <c r="A227" s="110"/>
      <c r="B227" s="808"/>
      <c r="C227" s="808"/>
      <c r="D227" s="808"/>
      <c r="E227" s="808"/>
      <c r="F227" s="808"/>
      <c r="G227" s="808"/>
      <c r="H227" s="808"/>
      <c r="I227" s="808"/>
    </row>
    <row r="228" spans="1:9">
      <c r="A228" s="110"/>
      <c r="B228" s="808"/>
      <c r="C228" s="808"/>
      <c r="D228" s="808"/>
      <c r="E228" s="808"/>
      <c r="F228" s="808"/>
      <c r="G228" s="808"/>
      <c r="H228" s="808"/>
      <c r="I228" s="808"/>
    </row>
    <row r="229" spans="1:9">
      <c r="A229" s="110"/>
      <c r="B229" s="808"/>
      <c r="C229" s="808"/>
      <c r="D229" s="808"/>
      <c r="E229" s="808"/>
      <c r="F229" s="808"/>
      <c r="G229" s="808"/>
      <c r="H229" s="808"/>
      <c r="I229" s="808"/>
    </row>
    <row r="230" spans="1:9">
      <c r="A230" s="110"/>
      <c r="B230" s="808"/>
      <c r="C230" s="808"/>
      <c r="D230" s="808"/>
      <c r="E230" s="808"/>
      <c r="F230" s="808"/>
      <c r="G230" s="808"/>
      <c r="H230" s="808"/>
      <c r="I230" s="808"/>
    </row>
    <row r="231" spans="1:9">
      <c r="A231" s="110"/>
      <c r="B231" s="808"/>
      <c r="C231" s="808"/>
      <c r="D231" s="808"/>
      <c r="E231" s="808"/>
      <c r="F231" s="808"/>
      <c r="G231" s="808"/>
      <c r="H231" s="808"/>
      <c r="I231" s="808"/>
    </row>
    <row r="232" spans="1:9">
      <c r="A232" s="110"/>
      <c r="B232" s="808"/>
      <c r="C232" s="808"/>
      <c r="D232" s="808"/>
      <c r="E232" s="808"/>
      <c r="F232" s="808"/>
      <c r="G232" s="808"/>
      <c r="H232" s="808"/>
      <c r="I232" s="808"/>
    </row>
    <row r="233" spans="1:9">
      <c r="A233" s="110"/>
      <c r="B233" s="358" t="s">
        <v>931</v>
      </c>
      <c r="C233" s="358"/>
      <c r="D233" s="358"/>
      <c r="E233" s="419"/>
      <c r="F233" s="419"/>
      <c r="G233" s="419"/>
      <c r="H233" s="419"/>
      <c r="I233" s="419"/>
    </row>
    <row r="234" spans="1:9">
      <c r="A234" s="110"/>
      <c r="B234" s="358" t="s">
        <v>932</v>
      </c>
      <c r="C234" s="358"/>
      <c r="D234" s="358"/>
      <c r="E234" s="419"/>
      <c r="F234" s="419"/>
      <c r="G234" s="419"/>
      <c r="H234" s="419"/>
      <c r="I234" s="419"/>
    </row>
    <row r="235" spans="1:9">
      <c r="A235" s="110"/>
      <c r="B235" s="358" t="s">
        <v>933</v>
      </c>
      <c r="C235" s="358"/>
      <c r="D235" s="358"/>
      <c r="E235" s="419"/>
      <c r="F235" s="419"/>
      <c r="G235" s="419"/>
      <c r="H235" s="419"/>
      <c r="I235" s="419"/>
    </row>
    <row r="236" spans="1:9">
      <c r="A236" s="110"/>
      <c r="B236" s="358"/>
      <c r="C236" s="358"/>
      <c r="D236" s="358"/>
      <c r="E236" s="419"/>
      <c r="F236" s="419"/>
      <c r="G236" s="419"/>
      <c r="H236" s="419"/>
      <c r="I236" s="419"/>
    </row>
    <row r="237" spans="1:9">
      <c r="A237" s="369">
        <v>48.1</v>
      </c>
      <c r="B237" s="420" t="s">
        <v>934</v>
      </c>
      <c r="C237" s="420"/>
      <c r="D237" s="419"/>
      <c r="E237" s="419"/>
      <c r="F237" s="419"/>
      <c r="G237" s="419"/>
      <c r="H237" s="419"/>
      <c r="I237" s="419"/>
    </row>
    <row r="238" spans="1:9">
      <c r="A238" s="110"/>
      <c r="B238" s="419"/>
      <c r="C238" s="419"/>
      <c r="D238" s="419"/>
      <c r="E238" s="419"/>
      <c r="F238" s="419"/>
      <c r="G238" s="419"/>
      <c r="H238" s="419"/>
      <c r="I238" s="419"/>
    </row>
    <row r="239" spans="1:9">
      <c r="A239" s="110"/>
      <c r="B239" s="808" t="s">
        <v>935</v>
      </c>
      <c r="C239" s="808"/>
      <c r="D239" s="808"/>
      <c r="E239" s="808"/>
      <c r="F239" s="808"/>
      <c r="G239" s="808"/>
      <c r="H239" s="808"/>
      <c r="I239" s="808"/>
    </row>
    <row r="240" spans="1:9">
      <c r="A240" s="110"/>
      <c r="B240" s="808"/>
      <c r="C240" s="808"/>
      <c r="D240" s="808"/>
      <c r="E240" s="808"/>
      <c r="F240" s="808"/>
      <c r="G240" s="808"/>
      <c r="H240" s="808"/>
      <c r="I240" s="808"/>
    </row>
    <row r="242" spans="2:9">
      <c r="B242" s="808" t="s">
        <v>936</v>
      </c>
      <c r="C242" s="808"/>
      <c r="D242" s="808"/>
      <c r="E242" s="808"/>
      <c r="F242" s="808"/>
      <c r="G242" s="808"/>
      <c r="H242" s="808"/>
      <c r="I242" s="808"/>
    </row>
    <row r="243" spans="2:9">
      <c r="B243" s="395"/>
      <c r="C243" s="395"/>
      <c r="D243" s="395"/>
      <c r="E243" s="395"/>
      <c r="F243" s="395"/>
      <c r="G243" s="395"/>
      <c r="H243" s="395"/>
      <c r="I243" s="395"/>
    </row>
    <row r="244" spans="2:9">
      <c r="B244" s="358" t="s">
        <v>937</v>
      </c>
      <c r="C244" s="358"/>
      <c r="D244" s="358"/>
      <c r="E244" s="419"/>
      <c r="F244" s="419"/>
      <c r="G244" s="419"/>
      <c r="H244" s="110"/>
      <c r="I244" s="110"/>
    </row>
    <row r="245" spans="2:9">
      <c r="B245" s="808" t="s">
        <v>938</v>
      </c>
      <c r="C245" s="808"/>
      <c r="D245" s="808"/>
      <c r="E245" s="808"/>
      <c r="F245" s="808"/>
      <c r="G245" s="808"/>
      <c r="H245" s="363"/>
      <c r="I245" s="363"/>
    </row>
    <row r="246" spans="2:9">
      <c r="B246" s="363"/>
      <c r="C246" s="363"/>
      <c r="D246" s="363"/>
      <c r="E246" s="363"/>
      <c r="F246" s="363"/>
      <c r="G246" s="363"/>
      <c r="H246" s="363"/>
      <c r="I246" s="363"/>
    </row>
    <row r="247" spans="2:9">
      <c r="B247" s="419"/>
      <c r="C247" s="419"/>
      <c r="D247" s="419"/>
      <c r="E247" s="419"/>
      <c r="F247" s="419"/>
      <c r="G247" s="808" t="s">
        <v>138</v>
      </c>
      <c r="H247" s="808"/>
      <c r="I247" s="808"/>
    </row>
    <row r="248" spans="2:9">
      <c r="B248" s="419"/>
      <c r="C248" s="419"/>
      <c r="D248" s="419"/>
      <c r="E248" s="419"/>
      <c r="F248" s="419"/>
      <c r="G248" s="287" t="s">
        <v>947</v>
      </c>
      <c r="H248" s="110"/>
      <c r="I248" s="287" t="s">
        <v>939</v>
      </c>
    </row>
    <row r="249" spans="2:9">
      <c r="B249" s="419"/>
      <c r="C249" s="419"/>
      <c r="D249" s="419"/>
      <c r="E249" s="419"/>
      <c r="F249" s="419"/>
      <c r="G249" s="347" t="s">
        <v>1</v>
      </c>
      <c r="H249" s="110"/>
      <c r="I249" s="347" t="s">
        <v>1</v>
      </c>
    </row>
    <row r="250" spans="2:9">
      <c r="B250" s="419"/>
      <c r="C250" s="419"/>
      <c r="D250" s="419"/>
      <c r="E250" s="419"/>
      <c r="F250" s="419"/>
      <c r="G250" s="266"/>
      <c r="H250" s="110"/>
      <c r="I250" s="266"/>
    </row>
    <row r="251" spans="2:9">
      <c r="B251" s="358" t="s">
        <v>940</v>
      </c>
      <c r="C251" s="358"/>
      <c r="D251" s="358"/>
      <c r="E251" s="404" t="s">
        <v>941</v>
      </c>
      <c r="F251" s="419"/>
      <c r="G251" s="359">
        <v>265202651</v>
      </c>
      <c r="H251" s="110"/>
      <c r="I251" s="359">
        <v>1370482175.3099999</v>
      </c>
    </row>
    <row r="252" spans="2:9">
      <c r="B252" s="808" t="s">
        <v>942</v>
      </c>
      <c r="C252" s="808"/>
      <c r="D252" s="358"/>
      <c r="E252" s="404" t="s">
        <v>943</v>
      </c>
      <c r="F252" s="419"/>
      <c r="G252" s="360">
        <v>1148797186.3299999</v>
      </c>
      <c r="H252" s="110"/>
      <c r="I252" s="360">
        <v>4422790.4999999991</v>
      </c>
    </row>
    <row r="253" spans="2:9">
      <c r="B253" s="358" t="s">
        <v>944</v>
      </c>
      <c r="C253" s="358"/>
      <c r="D253" s="358"/>
      <c r="E253" s="404" t="s">
        <v>805</v>
      </c>
      <c r="F253" s="419"/>
      <c r="G253" s="286">
        <v>94663762</v>
      </c>
      <c r="H253" s="110"/>
      <c r="I253" s="286">
        <v>40150005.799999997</v>
      </c>
    </row>
    <row r="254" spans="2:9">
      <c r="B254" s="383" t="s">
        <v>945</v>
      </c>
      <c r="C254" s="383"/>
      <c r="D254" s="383"/>
      <c r="E254" s="404" t="s">
        <v>946</v>
      </c>
      <c r="F254" s="419"/>
      <c r="G254" s="361" t="e">
        <v>#REF!</v>
      </c>
      <c r="H254" s="110"/>
      <c r="I254" s="361">
        <v>671693463.19000006</v>
      </c>
    </row>
    <row r="255" spans="2:9" ht="15.75" thickBot="1">
      <c r="B255" s="419"/>
      <c r="C255" s="419"/>
      <c r="D255" s="419"/>
      <c r="E255" s="419"/>
      <c r="F255" s="419"/>
      <c r="G255" s="415" t="e">
        <f>SUM(G251:G254)</f>
        <v>#REF!</v>
      </c>
      <c r="H255" s="416" t="e">
        <f>SUM(G251:G254)</f>
        <v>#REF!</v>
      </c>
      <c r="I255" s="415">
        <f>SUM(I251:I254)</f>
        <v>2086748434.8</v>
      </c>
    </row>
    <row r="256" spans="2:9" ht="15.75" thickTop="1"/>
    <row r="263" spans="2:11">
      <c r="B263" s="110" t="s">
        <v>683</v>
      </c>
      <c r="F263" s="14"/>
      <c r="G263" s="9">
        <f>224761025.56+120000</f>
        <v>224881025.56</v>
      </c>
      <c r="H263" s="14"/>
      <c r="I263" s="14"/>
    </row>
    <row r="264" spans="2:11">
      <c r="B264" s="110" t="s">
        <v>884</v>
      </c>
      <c r="F264" s="14"/>
      <c r="G264" s="9">
        <f>3600000+6195000</f>
        <v>9795000</v>
      </c>
      <c r="H264" s="14"/>
      <c r="I264" s="14"/>
    </row>
    <row r="265" spans="2:11">
      <c r="B265" s="110" t="s">
        <v>948</v>
      </c>
      <c r="F265" s="14"/>
      <c r="G265" s="14">
        <v>240000</v>
      </c>
      <c r="H265" s="14"/>
      <c r="I265" s="14"/>
    </row>
    <row r="266" spans="2:11">
      <c r="B266" s="17" t="s">
        <v>661</v>
      </c>
      <c r="F266" s="14"/>
      <c r="G266" s="9">
        <f>1530919.44+1619043.01</f>
        <v>3149962.45</v>
      </c>
      <c r="H266" s="14"/>
      <c r="I266" s="14"/>
    </row>
    <row r="267" spans="2:11" ht="15.75" thickBot="1">
      <c r="C267" s="110"/>
      <c r="D267" s="110"/>
      <c r="E267" s="110"/>
      <c r="F267" s="267"/>
      <c r="G267" s="114">
        <f>SUM(G263:G266)</f>
        <v>238065988.00999999</v>
      </c>
      <c r="H267" s="267"/>
      <c r="I267" s="267"/>
    </row>
    <row r="268" spans="2:11" ht="15.75" thickTop="1">
      <c r="B268" s="110"/>
      <c r="C268" s="110"/>
      <c r="D268" s="110"/>
      <c r="E268" s="110"/>
      <c r="F268" s="267"/>
      <c r="G268" s="267" t="s">
        <v>953</v>
      </c>
      <c r="H268" s="267"/>
      <c r="I268" s="267" t="s">
        <v>24</v>
      </c>
    </row>
    <row r="269" spans="2:11">
      <c r="B269" s="110" t="s">
        <v>683</v>
      </c>
      <c r="C269" s="110"/>
      <c r="D269" s="110"/>
      <c r="E269" s="110"/>
      <c r="F269" s="267"/>
      <c r="G269" s="19">
        <v>138501395.78</v>
      </c>
      <c r="H269" s="9"/>
      <c r="I269" s="5">
        <v>159602709.14999998</v>
      </c>
    </row>
    <row r="270" spans="2:11">
      <c r="B270" s="110" t="s">
        <v>884</v>
      </c>
      <c r="C270" s="110"/>
      <c r="D270" s="110"/>
      <c r="E270" s="110"/>
      <c r="F270" s="267"/>
      <c r="G270" s="11">
        <f>4935000+120000</f>
        <v>5055000</v>
      </c>
      <c r="H270" s="9"/>
      <c r="I270" s="9"/>
    </row>
    <row r="271" spans="2:11">
      <c r="B271" s="110" t="s">
        <v>948</v>
      </c>
      <c r="F271" s="14"/>
      <c r="G271" s="11">
        <f>475000</f>
        <v>475000</v>
      </c>
      <c r="H271" s="14"/>
      <c r="I271" s="14"/>
      <c r="K271" s="1">
        <f>I269+G269</f>
        <v>298104104.92999995</v>
      </c>
    </row>
    <row r="272" spans="2:11">
      <c r="B272" s="17" t="s">
        <v>661</v>
      </c>
      <c r="F272" s="14"/>
      <c r="G272" s="15">
        <v>2119015.36</v>
      </c>
      <c r="H272" s="14"/>
      <c r="I272" s="14">
        <v>23924041.350000001</v>
      </c>
      <c r="K272" s="1">
        <f>I270+G270</f>
        <v>5055000</v>
      </c>
    </row>
    <row r="273" spans="2:13">
      <c r="F273" s="14"/>
      <c r="G273" s="14">
        <f>SUM(G269:G272)</f>
        <v>146150411.14000002</v>
      </c>
      <c r="H273" s="14"/>
      <c r="I273" s="14">
        <f>SUM(I269:I272)</f>
        <v>183526750.49999997</v>
      </c>
      <c r="K273" s="1">
        <f>I271+G271</f>
        <v>475000</v>
      </c>
    </row>
    <row r="274" spans="2:13">
      <c r="K274" s="1">
        <f>I272+G272</f>
        <v>26043056.710000001</v>
      </c>
    </row>
    <row r="275" spans="2:13">
      <c r="K275" s="1">
        <f>G273+I273</f>
        <v>329677161.63999999</v>
      </c>
      <c r="L275" s="1">
        <f>G273/K275*100</f>
        <v>44.33137267166628</v>
      </c>
      <c r="M275" s="1">
        <f>I273/K275*100</f>
        <v>55.66862732833372</v>
      </c>
    </row>
    <row r="280" spans="2:13">
      <c r="B280" s="110" t="s">
        <v>883</v>
      </c>
      <c r="C280" s="421"/>
      <c r="D280" s="421"/>
      <c r="E280" s="421"/>
      <c r="F280" s="421"/>
      <c r="G280" s="19">
        <f>2800000+20000</f>
        <v>2820000</v>
      </c>
    </row>
    <row r="281" spans="2:13">
      <c r="B281" s="110" t="s">
        <v>884</v>
      </c>
      <c r="C281" s="421"/>
      <c r="D281" s="421"/>
      <c r="E281" s="421"/>
      <c r="F281" s="421"/>
      <c r="G281" s="11">
        <f>4935000+120000</f>
        <v>5055000</v>
      </c>
    </row>
    <row r="282" spans="2:13">
      <c r="B282" s="110" t="s">
        <v>709</v>
      </c>
      <c r="C282" s="421"/>
      <c r="D282" s="421"/>
      <c r="E282" s="421"/>
      <c r="F282" s="421"/>
      <c r="G282" s="11">
        <f>220000</f>
        <v>220000</v>
      </c>
    </row>
    <row r="283" spans="2:13">
      <c r="B283" s="110" t="s">
        <v>779</v>
      </c>
      <c r="C283" s="110"/>
      <c r="D283" s="110"/>
      <c r="E283" s="110"/>
      <c r="F283" s="110"/>
      <c r="G283" s="11">
        <v>240000</v>
      </c>
    </row>
    <row r="284" spans="2:13">
      <c r="B284" s="110" t="s">
        <v>892</v>
      </c>
      <c r="C284" s="110"/>
      <c r="D284" s="110"/>
      <c r="E284" s="110"/>
      <c r="F284" s="110"/>
      <c r="G284" s="11">
        <v>0</v>
      </c>
    </row>
    <row r="285" spans="2:13">
      <c r="B285" s="110" t="s">
        <v>812</v>
      </c>
      <c r="C285" s="110"/>
      <c r="D285" s="110"/>
      <c r="E285" s="110"/>
      <c r="F285" s="110"/>
      <c r="G285" s="132">
        <f>475000</f>
        <v>475000</v>
      </c>
    </row>
  </sheetData>
  <mergeCells count="30">
    <mergeCell ref="G247:I247"/>
    <mergeCell ref="B252:C252"/>
    <mergeCell ref="B226:I232"/>
    <mergeCell ref="B82:J82"/>
    <mergeCell ref="B84:J84"/>
    <mergeCell ref="B87:J87"/>
    <mergeCell ref="B88:C88"/>
    <mergeCell ref="B89:C89"/>
    <mergeCell ref="B147:J147"/>
    <mergeCell ref="B162:J168"/>
    <mergeCell ref="B245:G245"/>
    <mergeCell ref="G207:I207"/>
    <mergeCell ref="B239:I240"/>
    <mergeCell ref="B242:I242"/>
    <mergeCell ref="B77:J77"/>
    <mergeCell ref="B73:J74"/>
    <mergeCell ref="B197:F197"/>
    <mergeCell ref="B198:F198"/>
    <mergeCell ref="B201:J202"/>
    <mergeCell ref="G1:I1"/>
    <mergeCell ref="B9:J9"/>
    <mergeCell ref="B54:J54"/>
    <mergeCell ref="B58:J58"/>
    <mergeCell ref="B69:I69"/>
    <mergeCell ref="B23:G23"/>
    <mergeCell ref="B27:G27"/>
    <mergeCell ref="B36:H36"/>
    <mergeCell ref="B38:C38"/>
    <mergeCell ref="B40:G40"/>
    <mergeCell ref="B42:H48"/>
  </mergeCells>
  <pageMargins left="0.98425196850393704" right="0.23622047244094499" top="0.56999999999999995" bottom="0.23622047244094499" header="0.23622047244094499" footer="0.23622047244094499"/>
  <pageSetup paperSize="9" scale="90" firstPageNumber="19" orientation="portrait" useFirstPageNumber="1" horizontalDpi="4294967295" verticalDpi="4294967295" r:id="rId1"/>
  <headerFooter>
    <oddFooter>&amp;C&amp;P</oddFooter>
  </headerFooter>
</worksheet>
</file>

<file path=xl/worksheets/sheet14.xml><?xml version="1.0" encoding="utf-8"?>
<worksheet xmlns="http://schemas.openxmlformats.org/spreadsheetml/2006/main" xmlns:r="http://schemas.openxmlformats.org/officeDocument/2006/relationships">
  <dimension ref="A2:L25"/>
  <sheetViews>
    <sheetView view="pageBreakPreview" zoomScaleSheetLayoutView="100" workbookViewId="0">
      <selection activeCell="I10" sqref="I10"/>
    </sheetView>
  </sheetViews>
  <sheetFormatPr defaultRowHeight="15"/>
  <cols>
    <col min="1" max="1" width="9.140625" style="170" customWidth="1"/>
    <col min="2" max="6" width="9.140625" style="170"/>
    <col min="7" max="7" width="9.140625" style="170" customWidth="1"/>
    <col min="8" max="8" width="6.5703125" style="170" customWidth="1"/>
    <col min="9" max="9" width="18.7109375" style="170" bestFit="1" customWidth="1"/>
    <col min="10" max="10" width="9.140625" style="170"/>
    <col min="11" max="11" width="16" style="170" bestFit="1" customWidth="1"/>
    <col min="12" max="12" width="18.28515625" style="170" customWidth="1"/>
    <col min="13" max="16384" width="9.140625" style="170"/>
  </cols>
  <sheetData>
    <row r="2" spans="1:12">
      <c r="A2" s="808" t="s">
        <v>0</v>
      </c>
      <c r="B2" s="808"/>
      <c r="C2" s="808"/>
      <c r="D2" s="808"/>
      <c r="E2" s="808"/>
      <c r="F2" s="808"/>
      <c r="G2" s="808"/>
      <c r="H2" s="808"/>
      <c r="I2" s="808"/>
    </row>
    <row r="3" spans="1:12">
      <c r="A3" s="808" t="s">
        <v>722</v>
      </c>
      <c r="B3" s="808"/>
      <c r="C3" s="808"/>
      <c r="D3" s="808"/>
      <c r="E3" s="808"/>
      <c r="F3" s="808"/>
      <c r="G3" s="808"/>
      <c r="H3" s="808"/>
      <c r="I3" s="808"/>
      <c r="K3" s="22">
        <v>46914951.966197982</v>
      </c>
    </row>
    <row r="4" spans="1:12">
      <c r="A4" s="808" t="s">
        <v>1086</v>
      </c>
      <c r="B4" s="808"/>
      <c r="C4" s="808"/>
      <c r="D4" s="808"/>
      <c r="E4" s="808"/>
      <c r="F4" s="808"/>
      <c r="G4" s="808"/>
      <c r="H4" s="808"/>
      <c r="I4" s="808"/>
    </row>
    <row r="6" spans="1:12">
      <c r="B6" s="170" t="s">
        <v>1087</v>
      </c>
      <c r="F6" s="170" t="s">
        <v>1076</v>
      </c>
      <c r="I6" s="444">
        <v>235697745.39545</v>
      </c>
      <c r="J6" s="170" t="s">
        <v>981</v>
      </c>
      <c r="K6" s="22">
        <v>54181760</v>
      </c>
    </row>
    <row r="7" spans="1:12">
      <c r="I7" s="22"/>
      <c r="L7" s="427">
        <v>1915225306.1100001</v>
      </c>
    </row>
    <row r="8" spans="1:12">
      <c r="B8" s="170" t="s">
        <v>723</v>
      </c>
      <c r="I8" s="22">
        <v>159439126</v>
      </c>
    </row>
    <row r="9" spans="1:12">
      <c r="B9" s="401" t="s">
        <v>724</v>
      </c>
      <c r="C9" s="401"/>
      <c r="D9" s="401"/>
      <c r="E9" s="401"/>
      <c r="F9" s="401"/>
      <c r="G9" s="401"/>
      <c r="H9" s="401"/>
      <c r="I9" s="24">
        <f>I6</f>
        <v>235697745.39545</v>
      </c>
    </row>
    <row r="10" spans="1:12" ht="15.75" thickBot="1">
      <c r="B10" s="402" t="s">
        <v>1088</v>
      </c>
      <c r="C10" s="402"/>
      <c r="D10" s="402"/>
      <c r="E10" s="402"/>
      <c r="F10" s="402"/>
      <c r="G10" s="402"/>
      <c r="H10" s="402"/>
      <c r="I10" s="34">
        <f>(I9-I8)</f>
        <v>76258619.395449996</v>
      </c>
      <c r="K10" s="22"/>
      <c r="L10" s="170">
        <f>1132754825.19</f>
        <v>1132754825.1900001</v>
      </c>
    </row>
    <row r="11" spans="1:12" ht="15.75" thickTop="1">
      <c r="I11" s="22"/>
      <c r="K11" s="22"/>
    </row>
    <row r="12" spans="1:12">
      <c r="B12" s="401" t="s">
        <v>1089</v>
      </c>
      <c r="C12" s="401"/>
      <c r="D12" s="401"/>
      <c r="E12" s="401"/>
      <c r="F12" s="401"/>
      <c r="G12" s="401"/>
      <c r="H12" s="401"/>
      <c r="I12" s="24">
        <v>72440887.788900003</v>
      </c>
      <c r="K12" s="22"/>
    </row>
    <row r="13" spans="1:12" ht="15.75" thickBot="1">
      <c r="B13" s="401" t="s">
        <v>1090</v>
      </c>
      <c r="C13" s="402"/>
      <c r="D13" s="402"/>
      <c r="E13" s="402"/>
      <c r="F13" s="402"/>
      <c r="G13" s="402"/>
      <c r="H13" s="402"/>
      <c r="I13" s="34">
        <f>I10-I12</f>
        <v>3817731.6065499932</v>
      </c>
      <c r="K13" s="22"/>
    </row>
    <row r="14" spans="1:12" ht="15.75" thickTop="1">
      <c r="I14" s="22"/>
      <c r="K14" s="22"/>
    </row>
    <row r="15" spans="1:12">
      <c r="I15" s="22"/>
      <c r="K15" s="22"/>
    </row>
    <row r="16" spans="1:12">
      <c r="I16" s="22"/>
      <c r="K16" s="22"/>
    </row>
    <row r="17" spans="2:12">
      <c r="I17" s="22"/>
      <c r="K17" s="22"/>
    </row>
    <row r="18" spans="2:12">
      <c r="B18" s="170" t="s">
        <v>725</v>
      </c>
      <c r="I18" s="22">
        <f>'N-4-24-007'!G37</f>
        <v>2233381822.1099997</v>
      </c>
    </row>
    <row r="19" spans="2:12">
      <c r="B19" s="170" t="s">
        <v>726</v>
      </c>
      <c r="I19" s="22">
        <f>I6</f>
        <v>235697745.39545</v>
      </c>
    </row>
    <row r="20" spans="2:12" ht="15.75" thickBot="1">
      <c r="B20" s="170" t="s">
        <v>727</v>
      </c>
      <c r="I20" s="34">
        <f>I18-I19</f>
        <v>1997684076.7145495</v>
      </c>
    </row>
    <row r="21" spans="2:12" ht="15.75" thickTop="1"/>
    <row r="22" spans="2:12">
      <c r="L22" s="22">
        <v>36273972.480299979</v>
      </c>
    </row>
    <row r="23" spans="2:12">
      <c r="I23" s="22"/>
    </row>
    <row r="25" spans="2:12">
      <c r="I25" s="22">
        <f>29233130+I13</f>
        <v>33050861.606549993</v>
      </c>
    </row>
  </sheetData>
  <mergeCells count="3">
    <mergeCell ref="A2:I2"/>
    <mergeCell ref="A3:I3"/>
    <mergeCell ref="A4:I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dimension ref="B2:I36"/>
  <sheetViews>
    <sheetView workbookViewId="0">
      <selection activeCell="E43" sqref="E43"/>
    </sheetView>
  </sheetViews>
  <sheetFormatPr defaultRowHeight="15"/>
  <cols>
    <col min="1" max="1" width="1.140625" style="407" customWidth="1"/>
    <col min="2" max="2" width="4.5703125" style="407" customWidth="1"/>
    <col min="3" max="3" width="45.140625" style="407" customWidth="1"/>
    <col min="4" max="4" width="13.5703125" style="407" bestFit="1" customWidth="1"/>
    <col min="5" max="5" width="19.42578125" style="407" customWidth="1"/>
    <col min="6" max="6" width="11.140625" style="407" customWidth="1"/>
    <col min="7" max="7" width="16.28515625" style="407" customWidth="1"/>
    <col min="8" max="8" width="13.28515625" style="407" bestFit="1" customWidth="1"/>
    <col min="9" max="9" width="10.5703125" style="407" bestFit="1" customWidth="1"/>
    <col min="10" max="16384" width="9.140625" style="407"/>
  </cols>
  <sheetData>
    <row r="2" spans="2:9">
      <c r="B2" s="808" t="s">
        <v>817</v>
      </c>
      <c r="C2" s="808"/>
      <c r="D2" s="808"/>
      <c r="E2" s="808"/>
      <c r="F2" s="808"/>
      <c r="G2" s="808"/>
      <c r="H2" s="346"/>
      <c r="I2" s="346"/>
    </row>
    <row r="3" spans="2:9">
      <c r="B3" s="808" t="s">
        <v>818</v>
      </c>
      <c r="C3" s="808"/>
      <c r="D3" s="808"/>
      <c r="E3" s="808"/>
      <c r="F3" s="808"/>
      <c r="G3" s="808"/>
      <c r="H3" s="346"/>
      <c r="I3" s="346"/>
    </row>
    <row r="4" spans="2:9">
      <c r="B4" s="808" t="s">
        <v>819</v>
      </c>
      <c r="C4" s="808"/>
      <c r="D4" s="808"/>
      <c r="E4" s="808"/>
      <c r="F4" s="808"/>
      <c r="G4" s="808"/>
      <c r="H4" s="346"/>
      <c r="I4" s="346"/>
    </row>
    <row r="6" spans="2:9">
      <c r="C6" s="808" t="s">
        <v>820</v>
      </c>
      <c r="D6" s="808"/>
      <c r="E6" s="808"/>
      <c r="F6" s="808"/>
      <c r="G6" s="808"/>
    </row>
    <row r="8" spans="2:9">
      <c r="B8" s="1"/>
      <c r="C8" s="1"/>
      <c r="D8" s="1"/>
      <c r="E8" s="1"/>
      <c r="F8" s="266"/>
      <c r="G8" s="279" t="s">
        <v>1091</v>
      </c>
    </row>
    <row r="9" spans="2:9">
      <c r="B9" s="1"/>
      <c r="C9" s="1"/>
      <c r="D9" s="1"/>
      <c r="E9" s="1"/>
      <c r="F9" s="266"/>
      <c r="G9" s="347" t="s">
        <v>1</v>
      </c>
    </row>
    <row r="10" spans="2:9">
      <c r="B10" s="6"/>
      <c r="C10" s="6"/>
      <c r="D10" s="1"/>
      <c r="E10" s="1"/>
      <c r="F10" s="21"/>
      <c r="G10" s="21"/>
    </row>
    <row r="11" spans="2:9" ht="30.75" customHeight="1">
      <c r="B11" s="348" t="s">
        <v>821</v>
      </c>
      <c r="C11" s="349" t="s">
        <v>547</v>
      </c>
      <c r="D11" s="349" t="s">
        <v>544</v>
      </c>
      <c r="E11" s="349" t="s">
        <v>545</v>
      </c>
      <c r="F11" s="349" t="s">
        <v>822</v>
      </c>
      <c r="G11" s="349" t="s">
        <v>823</v>
      </c>
    </row>
    <row r="12" spans="2:9">
      <c r="B12" s="53">
        <v>1</v>
      </c>
      <c r="C12" s="1" t="s">
        <v>548</v>
      </c>
      <c r="D12" s="53">
        <v>137581</v>
      </c>
      <c r="E12" s="3">
        <v>3209275.17</v>
      </c>
      <c r="F12" s="350">
        <v>12</v>
      </c>
      <c r="G12" s="21">
        <v>1650972</v>
      </c>
    </row>
    <row r="13" spans="2:9">
      <c r="B13" s="53">
        <v>2</v>
      </c>
      <c r="C13" s="1" t="s">
        <v>549</v>
      </c>
      <c r="D13" s="53">
        <v>3605</v>
      </c>
      <c r="E13" s="3">
        <v>764724.62</v>
      </c>
      <c r="F13" s="350">
        <v>326.2</v>
      </c>
      <c r="G13" s="21">
        <v>1217052.2</v>
      </c>
    </row>
    <row r="14" spans="2:9">
      <c r="B14" s="53">
        <v>3</v>
      </c>
      <c r="C14" s="1" t="s">
        <v>762</v>
      </c>
      <c r="D14" s="53">
        <v>1000</v>
      </c>
      <c r="E14" s="3">
        <v>696429</v>
      </c>
      <c r="F14" s="350">
        <v>1116.4000000000001</v>
      </c>
      <c r="G14" s="21">
        <v>1116400</v>
      </c>
    </row>
    <row r="15" spans="2:9">
      <c r="B15" s="53">
        <v>4</v>
      </c>
      <c r="C15" s="1" t="s">
        <v>550</v>
      </c>
      <c r="D15" s="53">
        <v>206537</v>
      </c>
      <c r="E15" s="3">
        <v>10731965.130000001</v>
      </c>
      <c r="F15" s="350">
        <v>23.5</v>
      </c>
      <c r="G15" s="21">
        <v>5096280.5</v>
      </c>
    </row>
    <row r="16" spans="2:9">
      <c r="B16" s="53">
        <v>5</v>
      </c>
      <c r="C16" s="1" t="s">
        <v>527</v>
      </c>
      <c r="D16" s="53">
        <v>109902</v>
      </c>
      <c r="E16" s="3">
        <v>1246776.05</v>
      </c>
      <c r="F16" s="350">
        <v>10.9</v>
      </c>
      <c r="G16" s="21">
        <v>1341681</v>
      </c>
    </row>
    <row r="17" spans="2:9">
      <c r="B17" s="53">
        <v>6</v>
      </c>
      <c r="C17" s="1" t="s">
        <v>763</v>
      </c>
      <c r="D17" s="53">
        <v>39091</v>
      </c>
      <c r="E17" s="3">
        <v>951084.03</v>
      </c>
      <c r="F17" s="350">
        <v>24.2</v>
      </c>
      <c r="G17" s="21">
        <v>946002.2</v>
      </c>
    </row>
    <row r="18" spans="2:9">
      <c r="B18" s="53">
        <v>7</v>
      </c>
      <c r="C18" s="1" t="s">
        <v>702</v>
      </c>
      <c r="D18" s="53">
        <v>23716</v>
      </c>
      <c r="E18" s="3">
        <v>4392440.3600000003</v>
      </c>
      <c r="F18" s="350">
        <v>190.5</v>
      </c>
      <c r="G18" s="21">
        <v>4517898</v>
      </c>
      <c r="H18" s="22"/>
      <c r="I18" s="426"/>
    </row>
    <row r="19" spans="2:9">
      <c r="B19" s="53">
        <v>8</v>
      </c>
      <c r="C19" s="1" t="s">
        <v>764</v>
      </c>
      <c r="D19" s="53">
        <v>24816</v>
      </c>
      <c r="E19" s="3">
        <v>4962455.5199999996</v>
      </c>
      <c r="F19" s="350">
        <v>188.6</v>
      </c>
      <c r="G19" s="21">
        <v>4680297.5999999996</v>
      </c>
      <c r="H19" s="22"/>
      <c r="I19" s="426"/>
    </row>
    <row r="20" spans="2:9">
      <c r="B20" s="53">
        <v>9</v>
      </c>
      <c r="C20" s="1" t="s">
        <v>551</v>
      </c>
      <c r="D20" s="53">
        <v>174354</v>
      </c>
      <c r="E20" s="3">
        <v>1698207.96</v>
      </c>
      <c r="F20" s="350">
        <v>15.9</v>
      </c>
      <c r="G20" s="21">
        <v>2772228.6</v>
      </c>
    </row>
    <row r="21" spans="2:9">
      <c r="B21" s="53">
        <v>10</v>
      </c>
      <c r="C21" s="1" t="s">
        <v>703</v>
      </c>
      <c r="D21" s="53">
        <v>18150</v>
      </c>
      <c r="E21" s="3">
        <v>4835160</v>
      </c>
      <c r="F21" s="350">
        <v>225.2</v>
      </c>
      <c r="G21" s="21">
        <v>4087380</v>
      </c>
    </row>
    <row r="22" spans="2:9">
      <c r="B22" s="53">
        <v>11</v>
      </c>
      <c r="C22" s="1" t="s">
        <v>765</v>
      </c>
      <c r="D22" s="53">
        <v>22334</v>
      </c>
      <c r="E22" s="3">
        <v>2633565.7599999998</v>
      </c>
      <c r="F22" s="350">
        <v>254.2</v>
      </c>
      <c r="G22" s="21">
        <v>6074617.4000000004</v>
      </c>
      <c r="H22" s="22"/>
      <c r="I22" s="426"/>
    </row>
    <row r="23" spans="2:9">
      <c r="B23" s="53">
        <v>12</v>
      </c>
      <c r="C23" s="1" t="s">
        <v>766</v>
      </c>
      <c r="D23" s="53">
        <f>29000+10570</f>
        <v>39570</v>
      </c>
      <c r="E23" s="3">
        <v>2744884.56</v>
      </c>
      <c r="F23" s="350">
        <v>36.4</v>
      </c>
      <c r="G23" s="21">
        <v>1440348</v>
      </c>
    </row>
    <row r="24" spans="2:9" ht="15.75" thickBot="1">
      <c r="B24" s="53"/>
      <c r="C24" s="1"/>
      <c r="D24" s="1"/>
      <c r="E24" s="35">
        <f>SUM(E12:E23)</f>
        <v>38866968.160000004</v>
      </c>
      <c r="F24" s="21"/>
      <c r="G24" s="35">
        <f>SUM(G12:G23)</f>
        <v>34941157.5</v>
      </c>
      <c r="H24" s="22"/>
      <c r="I24" s="22"/>
    </row>
    <row r="25" spans="2:9" ht="15.75" thickTop="1"/>
    <row r="27" spans="2:9">
      <c r="C27" s="346" t="s">
        <v>1059</v>
      </c>
      <c r="D27" s="22">
        <v>34440163</v>
      </c>
    </row>
    <row r="28" spans="2:9">
      <c r="C28" s="346" t="s">
        <v>908</v>
      </c>
      <c r="D28" s="22">
        <v>0</v>
      </c>
    </row>
    <row r="29" spans="2:9">
      <c r="C29" s="346" t="s">
        <v>1060</v>
      </c>
      <c r="D29" s="24">
        <f>G24</f>
        <v>34941157.5</v>
      </c>
    </row>
    <row r="30" spans="2:9" ht="15.75" thickBot="1">
      <c r="C30" s="346" t="s">
        <v>952</v>
      </c>
      <c r="D30" s="34">
        <f>D29-D27</f>
        <v>500994.5</v>
      </c>
    </row>
    <row r="31" spans="2:9" ht="15.75" thickTop="1"/>
    <row r="33" spans="3:5">
      <c r="C33" s="407" t="s">
        <v>1061</v>
      </c>
      <c r="D33" s="426">
        <f>D30</f>
        <v>500994.5</v>
      </c>
    </row>
    <row r="34" spans="3:5">
      <c r="C34" s="407" t="s">
        <v>1062</v>
      </c>
      <c r="E34" s="426">
        <f>D30</f>
        <v>500994.5</v>
      </c>
    </row>
    <row r="36" spans="3:5">
      <c r="C36" s="442" t="s">
        <v>1063</v>
      </c>
    </row>
  </sheetData>
  <mergeCells count="4">
    <mergeCell ref="B2:G2"/>
    <mergeCell ref="B3:G3"/>
    <mergeCell ref="B4:G4"/>
    <mergeCell ref="C6:G6"/>
  </mergeCells>
  <pageMargins left="0.41" right="0.7" top="0.39" bottom="0.36" header="0.3" footer="0.3"/>
  <pageSetup orientation="landscape" r:id="rId1"/>
</worksheet>
</file>

<file path=xl/worksheets/sheet16.xml><?xml version="1.0" encoding="utf-8"?>
<worksheet xmlns="http://schemas.openxmlformats.org/spreadsheetml/2006/main" xmlns:r="http://schemas.openxmlformats.org/officeDocument/2006/relationships">
  <dimension ref="A1:IO178"/>
  <sheetViews>
    <sheetView view="pageBreakPreview" topLeftCell="B87" zoomScale="70" zoomScaleSheetLayoutView="70" workbookViewId="0">
      <selection activeCell="L112" sqref="L112"/>
    </sheetView>
  </sheetViews>
  <sheetFormatPr defaultRowHeight="15"/>
  <cols>
    <col min="1" max="1" width="0.140625" style="2" hidden="1" customWidth="1"/>
    <col min="2" max="2" width="7.28515625" style="52" bestFit="1" customWidth="1"/>
    <col min="3" max="3" width="9.140625" style="2"/>
    <col min="4" max="4" width="7.85546875" style="2" customWidth="1"/>
    <col min="5" max="5" width="16" style="2" customWidth="1"/>
    <col min="6" max="6" width="7.42578125" style="2" customWidth="1"/>
    <col min="7" max="7" width="11.42578125" style="2" bestFit="1" customWidth="1"/>
    <col min="8" max="8" width="0.5703125" style="2" customWidth="1"/>
    <col min="9" max="9" width="5.5703125" style="2" customWidth="1"/>
    <col min="10" max="10" width="0.42578125" style="2" hidden="1" customWidth="1"/>
    <col min="11" max="11" width="5.42578125" style="2" hidden="1" customWidth="1"/>
    <col min="12" max="13" width="0.85546875" style="2" customWidth="1"/>
    <col min="14" max="14" width="19.5703125" style="5" bestFit="1" customWidth="1"/>
    <col min="15" max="15" width="1" style="5" customWidth="1"/>
    <col min="16" max="16" width="19.5703125" style="37" bestFit="1" customWidth="1"/>
    <col min="17" max="17" width="1" style="2" customWidth="1"/>
    <col min="18" max="18" width="20.7109375" style="2" bestFit="1" customWidth="1"/>
    <col min="19" max="19" width="1" style="23" customWidth="1"/>
    <col min="20" max="20" width="20.7109375" style="2" bestFit="1" customWidth="1"/>
    <col min="21" max="21" width="12.5703125" style="2" customWidth="1"/>
    <col min="22" max="22" width="9.140625" style="2"/>
    <col min="23" max="23" width="12" style="2" bestFit="1" customWidth="1"/>
    <col min="24" max="16384" width="9.140625" style="2"/>
  </cols>
  <sheetData>
    <row r="1" spans="2:22">
      <c r="N1" s="1"/>
      <c r="O1" s="1"/>
    </row>
    <row r="2" spans="2:22">
      <c r="B2" s="59"/>
      <c r="C2" s="138"/>
      <c r="D2" s="10"/>
      <c r="E2" s="25"/>
      <c r="F2" s="25"/>
      <c r="G2" s="25"/>
      <c r="H2" s="25"/>
      <c r="I2" s="25"/>
      <c r="J2" s="25"/>
      <c r="K2" s="127"/>
      <c r="L2" s="127"/>
      <c r="M2" s="127"/>
      <c r="N2" s="136"/>
      <c r="O2" s="136"/>
      <c r="P2" s="41"/>
      <c r="Q2" s="25"/>
    </row>
    <row r="3" spans="2:22">
      <c r="B3" s="59"/>
      <c r="C3" s="138"/>
      <c r="D3" s="10"/>
      <c r="E3" s="25"/>
      <c r="F3" s="25"/>
      <c r="G3" s="25"/>
      <c r="H3" s="25"/>
      <c r="I3" s="25"/>
      <c r="J3" s="25"/>
      <c r="K3" s="127"/>
      <c r="L3" s="127"/>
      <c r="M3" s="127"/>
      <c r="N3" s="136"/>
      <c r="O3" s="136"/>
      <c r="P3" s="41"/>
      <c r="Q3" s="25"/>
    </row>
    <row r="4" spans="2:22">
      <c r="B4" s="59"/>
      <c r="C4" s="138"/>
      <c r="D4" s="10"/>
      <c r="E4" s="25"/>
      <c r="F4" s="25"/>
      <c r="G4" s="25"/>
      <c r="H4" s="25"/>
      <c r="I4" s="25"/>
      <c r="J4" s="25"/>
      <c r="K4" s="127"/>
      <c r="L4" s="127"/>
      <c r="M4" s="127"/>
      <c r="N4" s="209" t="s">
        <v>519</v>
      </c>
      <c r="O4" s="209"/>
      <c r="P4" s="209" t="s">
        <v>520</v>
      </c>
      <c r="R4" s="209" t="s">
        <v>370</v>
      </c>
      <c r="T4" s="209" t="s">
        <v>369</v>
      </c>
    </row>
    <row r="5" spans="2:22">
      <c r="B5" s="59"/>
      <c r="C5" s="138"/>
      <c r="D5" s="10"/>
      <c r="E5" s="25"/>
      <c r="F5" s="25"/>
      <c r="G5" s="25"/>
      <c r="H5" s="25"/>
      <c r="I5" s="25"/>
      <c r="J5" s="25"/>
      <c r="K5" s="127"/>
      <c r="L5" s="127"/>
      <c r="M5" s="127"/>
      <c r="N5" s="136"/>
      <c r="O5" s="136"/>
      <c r="P5" s="41"/>
      <c r="Q5" s="25"/>
    </row>
    <row r="6" spans="2:22" ht="15.75" thickBot="1">
      <c r="B6" s="52">
        <v>20</v>
      </c>
      <c r="C6" s="149" t="s">
        <v>15</v>
      </c>
      <c r="D6" s="133"/>
      <c r="E6" s="25"/>
      <c r="F6" s="25"/>
      <c r="G6" s="25"/>
      <c r="H6" s="25"/>
      <c r="I6" s="25"/>
      <c r="J6" s="25"/>
      <c r="K6" s="127"/>
      <c r="L6" s="127"/>
      <c r="M6" s="127"/>
      <c r="N6" s="210" t="e">
        <f>SOPL!#REF!</f>
        <v>#REF!</v>
      </c>
      <c r="O6" s="210"/>
      <c r="P6" s="211" t="e">
        <f>SOPL!#REF!</f>
        <v>#REF!</v>
      </c>
      <c r="Q6" s="25"/>
      <c r="R6" s="60" t="e">
        <f>SOPL!#REF!</f>
        <v>#REF!</v>
      </c>
      <c r="T6" s="60" t="e">
        <f>SOPL!#REF!</f>
        <v>#REF!</v>
      </c>
    </row>
    <row r="7" spans="2:22" ht="15.75" thickTop="1">
      <c r="B7" s="59"/>
      <c r="C7" s="138"/>
      <c r="D7" s="10"/>
      <c r="E7" s="25"/>
      <c r="F7" s="25"/>
      <c r="G7" s="25"/>
      <c r="H7" s="25"/>
      <c r="I7" s="25"/>
      <c r="J7" s="25"/>
      <c r="K7" s="127"/>
      <c r="L7" s="127"/>
      <c r="M7" s="127"/>
      <c r="N7" s="136"/>
      <c r="O7" s="136"/>
      <c r="P7" s="41"/>
      <c r="Q7" s="25"/>
    </row>
    <row r="8" spans="2:22">
      <c r="B8" s="59"/>
      <c r="C8" s="808" t="s">
        <v>342</v>
      </c>
      <c r="D8" s="808"/>
      <c r="E8" s="808"/>
      <c r="F8" s="808"/>
      <c r="G8" s="808"/>
      <c r="H8" s="808"/>
      <c r="I8" s="808"/>
      <c r="J8" s="808"/>
      <c r="K8" s="808"/>
      <c r="L8" s="808"/>
      <c r="M8" s="808"/>
      <c r="N8" s="808"/>
      <c r="O8" s="808"/>
      <c r="P8" s="808"/>
      <c r="Q8" s="808"/>
      <c r="R8" s="808"/>
      <c r="S8" s="808"/>
      <c r="T8" s="808"/>
    </row>
    <row r="9" spans="2:22">
      <c r="B9" s="59"/>
      <c r="C9" s="808"/>
      <c r="D9" s="808"/>
      <c r="E9" s="808"/>
      <c r="F9" s="808"/>
      <c r="G9" s="808"/>
      <c r="H9" s="808"/>
      <c r="I9" s="808"/>
      <c r="J9" s="808"/>
      <c r="K9" s="808"/>
      <c r="L9" s="808"/>
      <c r="M9" s="808"/>
      <c r="N9" s="808"/>
      <c r="O9" s="808"/>
      <c r="P9" s="808"/>
      <c r="Q9" s="808"/>
      <c r="R9" s="808"/>
      <c r="S9" s="808"/>
      <c r="T9" s="808"/>
    </row>
    <row r="10" spans="2:22">
      <c r="B10" s="59"/>
      <c r="C10" s="808"/>
      <c r="D10" s="808"/>
      <c r="E10" s="808"/>
      <c r="F10" s="808"/>
      <c r="G10" s="808"/>
      <c r="H10" s="808"/>
      <c r="I10" s="808"/>
      <c r="J10" s="808"/>
      <c r="K10" s="808"/>
      <c r="L10" s="808"/>
      <c r="M10" s="808"/>
      <c r="N10" s="808"/>
      <c r="O10" s="808"/>
      <c r="P10" s="808"/>
      <c r="Q10" s="808"/>
      <c r="R10" s="808"/>
      <c r="S10" s="808"/>
      <c r="T10" s="808"/>
    </row>
    <row r="11" spans="2:22">
      <c r="B11" s="59"/>
      <c r="C11" s="138"/>
      <c r="D11" s="10"/>
      <c r="E11" s="25"/>
      <c r="F11" s="25"/>
      <c r="G11" s="25"/>
      <c r="H11" s="25"/>
      <c r="I11" s="140"/>
      <c r="J11" s="140"/>
      <c r="K11" s="127"/>
      <c r="L11" s="127"/>
      <c r="M11" s="127"/>
      <c r="Q11" s="25"/>
    </row>
    <row r="12" spans="2:22" ht="15.75" thickBot="1">
      <c r="B12" s="52">
        <f>B6+1</f>
        <v>21</v>
      </c>
      <c r="C12" s="58" t="s">
        <v>19</v>
      </c>
      <c r="D12" s="10"/>
      <c r="E12" s="25"/>
      <c r="F12" s="25"/>
      <c r="G12" s="25"/>
      <c r="H12" s="25"/>
      <c r="I12" s="25"/>
      <c r="J12" s="25"/>
      <c r="K12" s="127"/>
      <c r="L12" s="127"/>
      <c r="M12" s="127"/>
      <c r="N12" s="139">
        <f>82944089-7961200-23531292</f>
        <v>51451597</v>
      </c>
      <c r="O12" s="139"/>
      <c r="P12" s="211" t="e">
        <f>SOPL!#REF!</f>
        <v>#REF!</v>
      </c>
      <c r="Q12" s="9"/>
      <c r="R12" s="150" t="e">
        <f>SOPL!#REF!</f>
        <v>#REF!</v>
      </c>
      <c r="S12" s="9"/>
      <c r="T12" s="150" t="e">
        <f>SOPL!#REF!</f>
        <v>#REF!</v>
      </c>
      <c r="U12" s="9"/>
      <c r="V12" s="25"/>
    </row>
    <row r="13" spans="2:22" ht="15.75" thickTop="1">
      <c r="B13" s="59"/>
      <c r="C13" s="58"/>
      <c r="D13" s="10"/>
      <c r="E13" s="25"/>
      <c r="F13" s="25"/>
      <c r="G13" s="25"/>
      <c r="H13" s="25"/>
      <c r="I13" s="25"/>
      <c r="J13" s="25"/>
      <c r="K13" s="127"/>
      <c r="L13" s="127"/>
      <c r="M13" s="127"/>
      <c r="N13" s="136"/>
      <c r="O13" s="136"/>
      <c r="P13" s="41"/>
      <c r="Q13" s="9"/>
      <c r="R13" s="9"/>
      <c r="S13" s="9"/>
      <c r="T13" s="9"/>
      <c r="U13" s="9"/>
      <c r="V13" s="25"/>
    </row>
    <row r="14" spans="2:22">
      <c r="B14" s="59"/>
      <c r="C14" s="808" t="s">
        <v>522</v>
      </c>
      <c r="D14" s="808"/>
      <c r="E14" s="808"/>
      <c r="F14" s="808"/>
      <c r="G14" s="808"/>
      <c r="H14" s="808"/>
      <c r="I14" s="808"/>
      <c r="J14" s="808"/>
      <c r="K14" s="808"/>
      <c r="L14" s="808"/>
      <c r="M14" s="808"/>
      <c r="N14" s="808"/>
      <c r="O14" s="808"/>
      <c r="P14" s="808"/>
      <c r="Q14" s="808"/>
      <c r="R14" s="808"/>
      <c r="S14" s="808"/>
      <c r="T14" s="808"/>
      <c r="U14" s="9"/>
      <c r="V14" s="25"/>
    </row>
    <row r="15" spans="2:22">
      <c r="B15" s="59"/>
      <c r="C15" s="808"/>
      <c r="D15" s="808"/>
      <c r="E15" s="808"/>
      <c r="F15" s="808"/>
      <c r="G15" s="808"/>
      <c r="H15" s="808"/>
      <c r="I15" s="808"/>
      <c r="J15" s="808"/>
      <c r="K15" s="808"/>
      <c r="L15" s="808"/>
      <c r="M15" s="808"/>
      <c r="N15" s="808"/>
      <c r="O15" s="808"/>
      <c r="P15" s="808"/>
      <c r="Q15" s="808"/>
      <c r="R15" s="808"/>
      <c r="S15" s="808"/>
      <c r="T15" s="808"/>
      <c r="U15" s="9"/>
      <c r="V15" s="25"/>
    </row>
    <row r="16" spans="2:22">
      <c r="B16" s="59"/>
      <c r="C16" s="808"/>
      <c r="D16" s="808"/>
      <c r="E16" s="808"/>
      <c r="F16" s="808"/>
      <c r="G16" s="808"/>
      <c r="H16" s="808"/>
      <c r="I16" s="808"/>
      <c r="J16" s="808"/>
      <c r="K16" s="808"/>
      <c r="L16" s="808"/>
      <c r="M16" s="808"/>
      <c r="N16" s="808"/>
      <c r="O16" s="808"/>
      <c r="P16" s="808"/>
      <c r="Q16" s="808"/>
      <c r="R16" s="808"/>
      <c r="S16" s="808"/>
      <c r="T16" s="808"/>
    </row>
    <row r="17" spans="2:249">
      <c r="B17" s="59"/>
      <c r="C17" s="151"/>
      <c r="D17" s="151"/>
      <c r="E17" s="151"/>
      <c r="F17" s="151"/>
      <c r="G17" s="151"/>
      <c r="H17" s="151"/>
      <c r="I17" s="151"/>
      <c r="J17" s="151"/>
      <c r="K17" s="151"/>
      <c r="L17" s="151"/>
      <c r="M17" s="151"/>
      <c r="N17" s="56"/>
      <c r="O17" s="56"/>
      <c r="P17" s="212"/>
      <c r="Q17" s="25"/>
    </row>
    <row r="18" spans="2:249">
      <c r="B18" s="59"/>
      <c r="C18" s="151"/>
      <c r="D18" s="151"/>
      <c r="E18" s="151"/>
      <c r="F18" s="151"/>
      <c r="G18" s="151"/>
      <c r="H18" s="151"/>
      <c r="I18" s="151"/>
      <c r="J18" s="151"/>
      <c r="K18" s="151"/>
      <c r="L18" s="151"/>
      <c r="M18" s="151"/>
      <c r="N18" s="56"/>
      <c r="O18" s="56"/>
      <c r="P18" s="212"/>
      <c r="Q18" s="25"/>
    </row>
    <row r="19" spans="2:249">
      <c r="B19" s="57">
        <f>B12+1</f>
        <v>22</v>
      </c>
      <c r="C19" s="17" t="s">
        <v>20</v>
      </c>
      <c r="D19" s="10"/>
      <c r="E19" s="130"/>
      <c r="F19" s="130"/>
      <c r="I19" s="130"/>
      <c r="J19" s="130"/>
      <c r="K19" s="178"/>
      <c r="L19" s="178"/>
      <c r="M19" s="178"/>
      <c r="N19" s="209" t="s">
        <v>519</v>
      </c>
      <c r="O19" s="209"/>
      <c r="P19" s="209" t="s">
        <v>520</v>
      </c>
      <c r="R19" s="209" t="s">
        <v>370</v>
      </c>
      <c r="T19" s="209" t="s">
        <v>369</v>
      </c>
    </row>
    <row r="20" spans="2:249">
      <c r="B20" s="57"/>
      <c r="C20" s="58"/>
      <c r="D20" s="10"/>
      <c r="E20" s="130"/>
      <c r="F20" s="130"/>
      <c r="I20" s="130"/>
      <c r="J20" s="130"/>
      <c r="K20" s="178"/>
      <c r="L20" s="178"/>
      <c r="M20" s="178"/>
      <c r="N20" s="3"/>
      <c r="O20" s="3"/>
      <c r="P20" s="38"/>
      <c r="Q20" s="5"/>
      <c r="R20" s="130"/>
      <c r="S20" s="127"/>
    </row>
    <row r="21" spans="2:249">
      <c r="B21" s="57"/>
      <c r="C21" s="10" t="s">
        <v>189</v>
      </c>
      <c r="D21" s="10"/>
      <c r="E21" s="130"/>
      <c r="F21" s="130"/>
      <c r="I21" s="130"/>
      <c r="J21" s="130"/>
      <c r="K21" s="178"/>
      <c r="L21" s="178"/>
      <c r="M21" s="178"/>
      <c r="N21" s="19">
        <f>18517725+623357+161745</f>
        <v>19302827</v>
      </c>
      <c r="O21" s="19"/>
      <c r="P21" s="213">
        <v>15883605</v>
      </c>
      <c r="Q21" s="5"/>
      <c r="R21" s="125">
        <f>4479541+623357+161745</f>
        <v>5264643</v>
      </c>
      <c r="S21" s="127"/>
      <c r="T21" s="167">
        <v>4899901</v>
      </c>
    </row>
    <row r="22" spans="2:249">
      <c r="B22" s="57"/>
      <c r="C22" s="10" t="s">
        <v>190</v>
      </c>
      <c r="D22" s="10"/>
      <c r="E22" s="130"/>
      <c r="F22" s="130"/>
      <c r="I22" s="130" t="s">
        <v>26</v>
      </c>
      <c r="J22" s="130"/>
      <c r="K22" s="178"/>
      <c r="L22" s="178"/>
      <c r="M22" s="178"/>
      <c r="N22" s="11">
        <v>5344762</v>
      </c>
      <c r="O22" s="11"/>
      <c r="P22" s="214">
        <v>900000</v>
      </c>
      <c r="Q22" s="5"/>
      <c r="R22" s="215">
        <v>2004750</v>
      </c>
      <c r="S22" s="127"/>
      <c r="T22" s="168">
        <v>300000</v>
      </c>
    </row>
    <row r="23" spans="2:249">
      <c r="B23" s="57"/>
      <c r="C23" s="58" t="s">
        <v>191</v>
      </c>
      <c r="D23" s="10"/>
      <c r="I23" s="130"/>
      <c r="J23" s="130"/>
      <c r="K23" s="178"/>
      <c r="L23" s="178"/>
      <c r="M23" s="178"/>
      <c r="N23" s="11">
        <f>N155</f>
        <v>3909056</v>
      </c>
      <c r="O23" s="11"/>
      <c r="P23" s="214">
        <v>2337774</v>
      </c>
      <c r="Q23" s="5"/>
      <c r="R23" s="215">
        <f>1220644+15750+15375+15230+15020+197700+15360</f>
        <v>1495079</v>
      </c>
      <c r="S23" s="127"/>
      <c r="T23" s="168">
        <v>1223722</v>
      </c>
    </row>
    <row r="24" spans="2:249">
      <c r="B24" s="57"/>
      <c r="C24" s="58" t="s">
        <v>192</v>
      </c>
      <c r="D24" s="10"/>
      <c r="I24" s="130"/>
      <c r="J24" s="130"/>
      <c r="K24" s="178"/>
      <c r="L24" s="178"/>
      <c r="M24" s="178"/>
      <c r="N24" s="11">
        <v>1060328</v>
      </c>
      <c r="O24" s="11"/>
      <c r="P24" s="54">
        <v>515260</v>
      </c>
      <c r="Q24" s="5"/>
      <c r="R24" s="215">
        <v>326094</v>
      </c>
      <c r="S24" s="127"/>
      <c r="T24" s="168">
        <v>240576</v>
      </c>
    </row>
    <row r="25" spans="2:249">
      <c r="B25" s="57"/>
      <c r="C25" s="58" t="s">
        <v>193</v>
      </c>
      <c r="D25" s="10"/>
      <c r="E25" s="130"/>
      <c r="F25" s="130"/>
      <c r="I25" s="130"/>
      <c r="J25" s="130"/>
      <c r="K25" s="178"/>
      <c r="L25" s="178"/>
      <c r="M25" s="178"/>
      <c r="N25" s="11">
        <v>455000</v>
      </c>
      <c r="O25" s="11"/>
      <c r="P25" s="214">
        <v>241295</v>
      </c>
      <c r="Q25" s="5"/>
      <c r="R25" s="215">
        <v>304000</v>
      </c>
      <c r="S25" s="127"/>
      <c r="T25" s="168">
        <v>85500</v>
      </c>
    </row>
    <row r="26" spans="2:249">
      <c r="B26" s="57"/>
      <c r="C26" s="58" t="s">
        <v>381</v>
      </c>
      <c r="D26" s="10"/>
      <c r="E26" s="130"/>
      <c r="F26" s="130"/>
      <c r="I26" s="130"/>
      <c r="J26" s="130"/>
      <c r="K26" s="178"/>
      <c r="L26" s="178"/>
      <c r="M26" s="178"/>
      <c r="N26" s="11">
        <v>1131513</v>
      </c>
      <c r="O26" s="11"/>
      <c r="P26" s="214">
        <v>0</v>
      </c>
      <c r="Q26" s="5"/>
      <c r="R26" s="215">
        <v>0</v>
      </c>
      <c r="S26" s="127"/>
      <c r="T26" s="245">
        <v>0</v>
      </c>
    </row>
    <row r="27" spans="2:249">
      <c r="B27" s="57"/>
      <c r="C27" s="17" t="s">
        <v>194</v>
      </c>
      <c r="D27" s="10"/>
      <c r="E27" s="130"/>
      <c r="F27" s="130"/>
      <c r="I27" s="130"/>
      <c r="J27" s="130"/>
      <c r="K27" s="178"/>
      <c r="L27" s="178"/>
      <c r="M27" s="178"/>
      <c r="N27" s="11">
        <v>751831</v>
      </c>
      <c r="O27" s="11"/>
      <c r="P27" s="214">
        <v>194950</v>
      </c>
      <c r="Q27" s="5"/>
      <c r="R27" s="215">
        <v>398921</v>
      </c>
      <c r="S27" s="127"/>
      <c r="T27" s="168">
        <v>50901</v>
      </c>
    </row>
    <row r="28" spans="2:249">
      <c r="B28" s="17"/>
      <c r="C28" s="58" t="s">
        <v>195</v>
      </c>
      <c r="D28" s="17"/>
      <c r="E28" s="17"/>
      <c r="F28" s="17"/>
      <c r="G28" s="17"/>
      <c r="H28" s="17"/>
      <c r="I28" s="17"/>
      <c r="J28" s="17"/>
      <c r="K28" s="17"/>
      <c r="L28" s="17"/>
      <c r="M28" s="17"/>
      <c r="N28" s="216">
        <f>949240+56218</f>
        <v>1005458</v>
      </c>
      <c r="O28" s="216"/>
      <c r="P28" s="45">
        <v>864199</v>
      </c>
      <c r="Q28" s="17"/>
      <c r="R28" s="216">
        <f>334831+56218</f>
        <v>391049</v>
      </c>
      <c r="S28" s="217"/>
      <c r="T28" s="216">
        <v>282393</v>
      </c>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row>
    <row r="29" spans="2:249">
      <c r="B29" s="57"/>
      <c r="C29" s="10" t="s">
        <v>197</v>
      </c>
      <c r="D29" s="10"/>
      <c r="E29" s="130"/>
      <c r="F29" s="130"/>
      <c r="I29" s="130"/>
      <c r="J29" s="130"/>
      <c r="K29" s="178"/>
      <c r="L29" s="178"/>
      <c r="M29" s="178"/>
      <c r="N29" s="11">
        <f>785862+58550</f>
        <v>844412</v>
      </c>
      <c r="O29" s="11"/>
      <c r="P29" s="214">
        <v>997043</v>
      </c>
      <c r="Q29" s="5"/>
      <c r="R29" s="215">
        <f>291414+58550</f>
        <v>349964</v>
      </c>
      <c r="S29" s="127"/>
      <c r="T29" s="168">
        <v>446354</v>
      </c>
    </row>
    <row r="30" spans="2:249">
      <c r="B30" s="57"/>
      <c r="C30" s="10" t="s">
        <v>198</v>
      </c>
      <c r="D30" s="10"/>
      <c r="E30" s="130"/>
      <c r="F30" s="130"/>
      <c r="I30" s="130"/>
      <c r="J30" s="130"/>
      <c r="K30" s="178"/>
      <c r="L30" s="178"/>
      <c r="M30" s="178"/>
      <c r="N30" s="11">
        <f>393758+9690+1300992</f>
        <v>1704440</v>
      </c>
      <c r="O30" s="11"/>
      <c r="P30" s="214">
        <v>458690</v>
      </c>
      <c r="Q30" s="5"/>
      <c r="R30" s="215">
        <f>187538+9690</f>
        <v>197228</v>
      </c>
      <c r="S30" s="127"/>
      <c r="T30" s="168">
        <v>106459</v>
      </c>
    </row>
    <row r="31" spans="2:249">
      <c r="B31" s="57"/>
      <c r="C31" s="10" t="s">
        <v>199</v>
      </c>
      <c r="D31" s="10"/>
      <c r="E31" s="130"/>
      <c r="F31" s="130"/>
      <c r="I31" s="130"/>
      <c r="J31" s="130"/>
      <c r="K31" s="178"/>
      <c r="L31" s="178"/>
      <c r="M31" s="178"/>
      <c r="N31" s="11">
        <f>107146+300</f>
        <v>107446</v>
      </c>
      <c r="O31" s="11"/>
      <c r="P31" s="214">
        <v>24099</v>
      </c>
      <c r="Q31" s="5"/>
      <c r="R31" s="215">
        <f>89847+300</f>
        <v>90147</v>
      </c>
      <c r="S31" s="127"/>
      <c r="T31" s="168">
        <v>9560</v>
      </c>
    </row>
    <row r="32" spans="2:249">
      <c r="B32" s="57"/>
      <c r="C32" s="10" t="s">
        <v>200</v>
      </c>
      <c r="D32" s="10"/>
      <c r="E32" s="130"/>
      <c r="F32" s="130"/>
      <c r="I32" s="130"/>
      <c r="J32" s="130"/>
      <c r="K32" s="178"/>
      <c r="L32" s="178"/>
      <c r="M32" s="178"/>
      <c r="N32" s="11">
        <f>503937+5520</f>
        <v>509457</v>
      </c>
      <c r="O32" s="11"/>
      <c r="P32" s="214">
        <v>324946</v>
      </c>
      <c r="Q32" s="5"/>
      <c r="R32" s="215">
        <f>196757+5520</f>
        <v>202277</v>
      </c>
      <c r="S32" s="127"/>
      <c r="T32" s="168">
        <v>105034</v>
      </c>
    </row>
    <row r="33" spans="2:20">
      <c r="B33" s="57"/>
      <c r="C33" s="10" t="s">
        <v>307</v>
      </c>
      <c r="D33" s="10"/>
      <c r="E33" s="130"/>
      <c r="F33" s="130"/>
      <c r="I33" s="130"/>
      <c r="J33" s="130"/>
      <c r="K33" s="178"/>
      <c r="L33" s="178"/>
      <c r="M33" s="178"/>
      <c r="N33" s="11">
        <f>2922326-1300992</f>
        <v>1621334</v>
      </c>
      <c r="O33" s="11"/>
      <c r="P33" s="214">
        <v>190316</v>
      </c>
      <c r="Q33" s="5"/>
      <c r="R33" s="215">
        <v>15000</v>
      </c>
      <c r="S33" s="127"/>
      <c r="T33" s="245">
        <v>0</v>
      </c>
    </row>
    <row r="34" spans="2:20">
      <c r="B34" s="57"/>
      <c r="C34" s="10" t="s">
        <v>201</v>
      </c>
      <c r="D34" s="10"/>
      <c r="E34" s="130"/>
      <c r="F34" s="130"/>
      <c r="I34" s="130"/>
      <c r="J34" s="130"/>
      <c r="K34" s="178"/>
      <c r="L34" s="178"/>
      <c r="M34" s="178"/>
      <c r="N34" s="11">
        <v>271904</v>
      </c>
      <c r="O34" s="11"/>
      <c r="P34" s="129">
        <v>89941</v>
      </c>
      <c r="Q34" s="5"/>
      <c r="R34" s="11">
        <v>134822</v>
      </c>
      <c r="S34" s="127"/>
      <c r="T34" s="168">
        <v>28886</v>
      </c>
    </row>
    <row r="35" spans="2:20">
      <c r="B35" s="57"/>
      <c r="C35" s="12" t="s">
        <v>202</v>
      </c>
      <c r="D35" s="10"/>
      <c r="E35" s="130"/>
      <c r="F35" s="130"/>
      <c r="I35" s="130"/>
      <c r="J35" s="130"/>
      <c r="K35" s="178"/>
      <c r="L35" s="178"/>
      <c r="M35" s="178"/>
      <c r="N35" s="132">
        <v>69662</v>
      </c>
      <c r="O35" s="132"/>
      <c r="P35" s="218">
        <v>1071</v>
      </c>
      <c r="Q35" s="5"/>
      <c r="R35" s="219">
        <v>67539</v>
      </c>
      <c r="S35" s="127"/>
      <c r="T35" s="222">
        <v>0</v>
      </c>
    </row>
    <row r="36" spans="2:20" ht="15.75" thickBot="1">
      <c r="B36" s="59"/>
      <c r="C36" s="10"/>
      <c r="D36" s="10"/>
      <c r="E36" s="130"/>
      <c r="F36" s="130"/>
      <c r="I36" s="130"/>
      <c r="J36" s="130"/>
      <c r="K36" s="178"/>
      <c r="L36" s="178"/>
      <c r="M36" s="178"/>
      <c r="N36" s="35">
        <f>SUM(N21:N35)</f>
        <v>38089430</v>
      </c>
      <c r="O36" s="35"/>
      <c r="P36" s="220">
        <f>SUM(P21:P35)</f>
        <v>23023189</v>
      </c>
      <c r="Q36" s="5"/>
      <c r="R36" s="220">
        <f>SUM(R21:R35)</f>
        <v>11241513</v>
      </c>
      <c r="S36" s="25"/>
      <c r="T36" s="220">
        <f>SUM(T21:T35)</f>
        <v>7779286</v>
      </c>
    </row>
    <row r="37" spans="2:20" ht="15.75" thickTop="1">
      <c r="B37" s="59"/>
      <c r="C37" s="10"/>
      <c r="D37" s="10"/>
      <c r="E37" s="130"/>
      <c r="F37" s="130"/>
      <c r="I37" s="130"/>
      <c r="J37" s="130"/>
      <c r="K37" s="178"/>
      <c r="L37" s="178"/>
      <c r="M37" s="178"/>
      <c r="N37" s="21"/>
      <c r="O37" s="21"/>
      <c r="P37" s="221"/>
      <c r="Q37" s="5"/>
      <c r="R37" s="221"/>
      <c r="S37" s="25"/>
      <c r="T37" s="221"/>
    </row>
    <row r="38" spans="2:20">
      <c r="B38" s="59"/>
      <c r="C38" s="10"/>
      <c r="D38" s="10"/>
      <c r="E38" s="130"/>
      <c r="F38" s="130"/>
      <c r="I38" s="130"/>
      <c r="J38" s="130"/>
      <c r="K38" s="178"/>
      <c r="L38" s="178"/>
      <c r="M38" s="178"/>
      <c r="N38" s="21"/>
      <c r="O38" s="21"/>
      <c r="P38" s="221"/>
      <c r="Q38" s="5"/>
      <c r="R38" s="221"/>
      <c r="S38" s="25"/>
      <c r="T38" s="221"/>
    </row>
    <row r="39" spans="2:20">
      <c r="B39" s="59"/>
      <c r="C39" s="10"/>
      <c r="D39" s="10"/>
      <c r="E39" s="130"/>
      <c r="F39" s="130"/>
      <c r="I39" s="130"/>
      <c r="J39" s="130"/>
      <c r="K39" s="178"/>
      <c r="L39" s="178"/>
      <c r="M39" s="178"/>
      <c r="N39" s="21"/>
      <c r="O39" s="21"/>
      <c r="P39" s="221"/>
      <c r="Q39" s="5"/>
      <c r="R39" s="221"/>
      <c r="S39" s="25"/>
      <c r="T39" s="221"/>
    </row>
    <row r="40" spans="2:20">
      <c r="B40" s="59"/>
      <c r="C40" s="10"/>
      <c r="D40" s="10"/>
      <c r="E40" s="130"/>
      <c r="F40" s="130"/>
      <c r="I40" s="130"/>
      <c r="J40" s="130"/>
      <c r="K40" s="178"/>
      <c r="L40" s="178"/>
      <c r="M40" s="178"/>
      <c r="N40" s="21"/>
      <c r="O40" s="21"/>
      <c r="P40" s="221"/>
      <c r="Q40" s="5"/>
      <c r="R40" s="221"/>
      <c r="S40" s="25"/>
      <c r="T40" s="221"/>
    </row>
    <row r="41" spans="2:20">
      <c r="B41" s="59"/>
      <c r="C41" s="10"/>
      <c r="D41" s="10"/>
      <c r="E41" s="22"/>
      <c r="F41" s="22"/>
      <c r="G41" s="22"/>
      <c r="H41" s="22"/>
      <c r="I41" s="130"/>
      <c r="J41" s="130"/>
      <c r="K41" s="22"/>
      <c r="L41" s="22"/>
      <c r="M41" s="22"/>
      <c r="N41" s="209" t="s">
        <v>519</v>
      </c>
      <c r="O41" s="209"/>
      <c r="P41" s="209" t="s">
        <v>520</v>
      </c>
      <c r="R41" s="209" t="s">
        <v>370</v>
      </c>
      <c r="T41" s="209" t="s">
        <v>369</v>
      </c>
    </row>
    <row r="42" spans="2:20">
      <c r="B42" s="57">
        <f>B19+1</f>
        <v>23</v>
      </c>
      <c r="C42" s="170" t="s">
        <v>203</v>
      </c>
      <c r="D42" s="10"/>
      <c r="E42" s="130"/>
      <c r="F42" s="130"/>
      <c r="G42" s="178"/>
      <c r="H42" s="178"/>
      <c r="I42" s="25"/>
      <c r="J42" s="25"/>
      <c r="K42" s="130"/>
      <c r="L42" s="130"/>
      <c r="M42" s="130"/>
      <c r="N42" s="3" t="s">
        <v>1</v>
      </c>
      <c r="O42" s="3"/>
      <c r="P42" s="38" t="s">
        <v>1</v>
      </c>
      <c r="Q42" s="5"/>
      <c r="R42" s="38" t="s">
        <v>1</v>
      </c>
      <c r="T42" s="38" t="s">
        <v>1</v>
      </c>
    </row>
    <row r="43" spans="2:20">
      <c r="B43" s="57"/>
      <c r="C43" s="170"/>
      <c r="D43" s="10"/>
      <c r="E43" s="130"/>
      <c r="F43" s="130"/>
      <c r="G43" s="178"/>
      <c r="H43" s="178"/>
      <c r="I43" s="25"/>
      <c r="J43" s="25"/>
      <c r="K43" s="130"/>
      <c r="L43" s="130"/>
      <c r="M43" s="130"/>
      <c r="N43" s="3"/>
      <c r="O43" s="3"/>
      <c r="P43" s="38"/>
      <c r="Q43" s="5"/>
    </row>
    <row r="44" spans="2:20">
      <c r="B44" s="59"/>
      <c r="C44" s="10" t="s">
        <v>343</v>
      </c>
      <c r="D44" s="10"/>
      <c r="E44" s="25"/>
      <c r="F44" s="25"/>
      <c r="G44" s="25"/>
      <c r="H44" s="25"/>
      <c r="I44" s="25"/>
      <c r="J44" s="25"/>
      <c r="K44" s="25"/>
      <c r="L44" s="25"/>
      <c r="M44" s="25"/>
      <c r="N44" s="19">
        <f>224958+18600</f>
        <v>243558</v>
      </c>
      <c r="O44" s="19"/>
      <c r="P44" s="48">
        <v>188000</v>
      </c>
      <c r="Q44" s="22"/>
      <c r="R44" s="167">
        <f>51247+18600</f>
        <v>69847</v>
      </c>
      <c r="T44" s="167">
        <v>67324</v>
      </c>
    </row>
    <row r="45" spans="2:20">
      <c r="B45" s="59"/>
      <c r="C45" s="10" t="s">
        <v>205</v>
      </c>
      <c r="D45" s="10"/>
      <c r="E45" s="25"/>
      <c r="F45" s="25"/>
      <c r="G45" s="25"/>
      <c r="H45" s="25"/>
      <c r="K45" s="25"/>
      <c r="L45" s="25"/>
      <c r="M45" s="25"/>
      <c r="N45" s="11">
        <v>140230891</v>
      </c>
      <c r="O45" s="11"/>
      <c r="P45" s="43">
        <v>10819374</v>
      </c>
      <c r="Q45" s="22"/>
      <c r="R45" s="168">
        <v>50146981</v>
      </c>
      <c r="T45" s="168">
        <v>650000</v>
      </c>
    </row>
    <row r="46" spans="2:20">
      <c r="B46" s="59"/>
      <c r="C46" s="10" t="s">
        <v>344</v>
      </c>
      <c r="D46" s="10"/>
      <c r="E46" s="25"/>
      <c r="F46" s="25"/>
      <c r="G46" s="25"/>
      <c r="H46" s="25"/>
      <c r="I46" s="25"/>
      <c r="J46" s="25"/>
      <c r="K46" s="25"/>
      <c r="L46" s="25"/>
      <c r="M46" s="25"/>
      <c r="N46" s="11">
        <v>0</v>
      </c>
      <c r="O46" s="11"/>
      <c r="P46" s="43">
        <v>0</v>
      </c>
      <c r="Q46" s="22"/>
      <c r="R46" s="30">
        <f>1220977-51247+100000</f>
        <v>1269730</v>
      </c>
      <c r="S46" s="25"/>
      <c r="T46" s="132">
        <v>0</v>
      </c>
    </row>
    <row r="47" spans="2:20">
      <c r="B47" s="59"/>
      <c r="C47" s="10" t="s">
        <v>345</v>
      </c>
      <c r="D47" s="10"/>
      <c r="E47" s="25"/>
      <c r="F47" s="25"/>
      <c r="G47" s="25"/>
      <c r="H47" s="25"/>
      <c r="K47" s="25"/>
      <c r="L47" s="25"/>
      <c r="M47" s="25"/>
      <c r="N47" s="132">
        <v>0</v>
      </c>
      <c r="O47" s="132"/>
      <c r="P47" s="44">
        <v>36750</v>
      </c>
      <c r="Q47" s="22"/>
      <c r="R47" s="132">
        <v>0</v>
      </c>
      <c r="T47" s="132">
        <v>0</v>
      </c>
    </row>
    <row r="48" spans="2:20" ht="15.75" thickBot="1">
      <c r="B48" s="59"/>
      <c r="C48" s="170"/>
      <c r="D48" s="170"/>
      <c r="E48" s="25"/>
      <c r="F48" s="25"/>
      <c r="G48" s="25"/>
      <c r="H48" s="25"/>
      <c r="I48" s="25"/>
      <c r="J48" s="25"/>
      <c r="K48" s="25"/>
      <c r="L48" s="25"/>
      <c r="M48" s="25"/>
      <c r="N48" s="150">
        <f>SUM(N44:N47)</f>
        <v>140474449</v>
      </c>
      <c r="O48" s="150"/>
      <c r="P48" s="211">
        <f>SUM(P44:P47)</f>
        <v>11044124</v>
      </c>
      <c r="Q48" s="178"/>
      <c r="R48" s="211">
        <f>SUM(R44:R47)</f>
        <v>51486558</v>
      </c>
      <c r="T48" s="26">
        <f>SUM(T44:T47)</f>
        <v>717324</v>
      </c>
    </row>
    <row r="49" spans="2:21" ht="15.75" thickTop="1">
      <c r="B49" s="59"/>
      <c r="C49" s="170"/>
      <c r="D49" s="170"/>
      <c r="E49" s="25"/>
      <c r="F49" s="25"/>
      <c r="G49" s="25"/>
      <c r="H49" s="25"/>
      <c r="I49" s="25"/>
      <c r="J49" s="25"/>
      <c r="K49" s="25"/>
      <c r="L49" s="25"/>
      <c r="M49" s="25"/>
      <c r="N49" s="9"/>
      <c r="O49" s="9"/>
      <c r="P49" s="41"/>
      <c r="Q49" s="178"/>
    </row>
    <row r="50" spans="2:21">
      <c r="B50" s="52">
        <v>24</v>
      </c>
      <c r="C50" s="2" t="s">
        <v>207</v>
      </c>
      <c r="D50" s="61"/>
      <c r="E50" s="61"/>
      <c r="F50" s="61"/>
      <c r="G50" s="61"/>
      <c r="H50" s="61"/>
      <c r="I50" s="61"/>
      <c r="J50" s="61"/>
      <c r="K50" s="61"/>
      <c r="L50" s="61"/>
      <c r="M50" s="61"/>
      <c r="N50" s="209" t="s">
        <v>519</v>
      </c>
      <c r="O50" s="209"/>
      <c r="P50" s="209" t="s">
        <v>520</v>
      </c>
      <c r="R50" s="209" t="s">
        <v>370</v>
      </c>
      <c r="T50" s="209" t="s">
        <v>369</v>
      </c>
    </row>
    <row r="51" spans="2:21">
      <c r="N51" s="3" t="s">
        <v>1</v>
      </c>
      <c r="O51" s="3"/>
      <c r="P51" s="38" t="s">
        <v>1</v>
      </c>
      <c r="Q51" s="5"/>
      <c r="R51" s="38" t="s">
        <v>1</v>
      </c>
      <c r="T51" s="38" t="s">
        <v>1</v>
      </c>
    </row>
    <row r="52" spans="2:21">
      <c r="B52" s="153">
        <f>B50+0.1</f>
        <v>24.1</v>
      </c>
      <c r="C52" s="2" t="s">
        <v>208</v>
      </c>
      <c r="D52" s="61"/>
      <c r="E52" s="61"/>
      <c r="F52" s="61"/>
      <c r="G52" s="61"/>
      <c r="H52" s="61"/>
      <c r="I52" s="61"/>
      <c r="J52" s="61"/>
      <c r="K52" s="61"/>
      <c r="L52" s="61"/>
      <c r="M52" s="61"/>
      <c r="Q52" s="61"/>
    </row>
    <row r="53" spans="2:21">
      <c r="B53" s="153"/>
      <c r="D53" s="61"/>
      <c r="E53" s="61"/>
      <c r="F53" s="61"/>
      <c r="G53" s="61"/>
      <c r="H53" s="61"/>
      <c r="I53" s="61"/>
      <c r="J53" s="61"/>
      <c r="K53" s="61"/>
      <c r="L53" s="61"/>
      <c r="M53" s="61"/>
      <c r="N53" s="74"/>
      <c r="O53" s="74"/>
      <c r="P53" s="223"/>
      <c r="Q53" s="61"/>
    </row>
    <row r="54" spans="2:21">
      <c r="B54" s="153"/>
      <c r="C54" s="265" t="s">
        <v>346</v>
      </c>
      <c r="E54" s="265"/>
      <c r="F54" s="265"/>
      <c r="G54" s="265"/>
      <c r="H54" s="265"/>
      <c r="I54" s="7"/>
      <c r="J54" s="266"/>
      <c r="K54" s="7"/>
      <c r="L54" s="7"/>
      <c r="M54" s="267"/>
      <c r="N54" s="7" t="e">
        <f>SOPL!#REF!</f>
        <v>#REF!</v>
      </c>
      <c r="O54" s="7"/>
      <c r="P54" s="7" t="e">
        <f>SOPL!#REF!</f>
        <v>#REF!</v>
      </c>
      <c r="Q54" s="7" t="e">
        <f>SOPL!#REF!</f>
        <v>#REF!</v>
      </c>
      <c r="R54" s="7" t="e">
        <f>SOPL!#REF!</f>
        <v>#REF!</v>
      </c>
      <c r="S54" s="7" t="e">
        <f>SOPL!#REF!</f>
        <v>#REF!</v>
      </c>
      <c r="T54" s="7" t="e">
        <f>SOPL!#REF!</f>
        <v>#REF!</v>
      </c>
    </row>
    <row r="55" spans="2:21">
      <c r="B55" s="153"/>
      <c r="C55" s="110"/>
      <c r="D55" s="265"/>
      <c r="E55" s="265"/>
      <c r="F55" s="265"/>
      <c r="G55" s="265"/>
      <c r="H55" s="265"/>
      <c r="I55" s="7"/>
      <c r="J55" s="266"/>
      <c r="K55" s="7"/>
      <c r="L55" s="7"/>
      <c r="M55" s="267"/>
      <c r="N55" s="7"/>
      <c r="O55" s="7"/>
      <c r="P55" s="199"/>
      <c r="Q55" s="61"/>
    </row>
    <row r="56" spans="2:21">
      <c r="B56" s="153"/>
      <c r="C56" s="265" t="s">
        <v>347</v>
      </c>
      <c r="D56" s="265"/>
      <c r="E56" s="265"/>
      <c r="F56" s="265"/>
      <c r="G56" s="265"/>
      <c r="H56" s="265"/>
      <c r="I56" s="7"/>
      <c r="J56" s="266"/>
      <c r="K56" s="7"/>
      <c r="L56" s="7"/>
      <c r="M56" s="267"/>
      <c r="N56" s="7"/>
      <c r="O56" s="7"/>
      <c r="P56" s="199"/>
      <c r="Q56" s="61"/>
    </row>
    <row r="57" spans="2:21">
      <c r="B57" s="153"/>
      <c r="C57" s="110"/>
      <c r="D57" s="265"/>
      <c r="E57" s="265"/>
      <c r="F57" s="265"/>
      <c r="G57" s="265"/>
      <c r="H57" s="265"/>
      <c r="I57" s="7"/>
      <c r="J57" s="266"/>
      <c r="K57" s="7"/>
      <c r="L57" s="7"/>
      <c r="M57" s="267"/>
      <c r="N57" s="7"/>
      <c r="O57" s="7"/>
      <c r="P57" s="199"/>
      <c r="Q57" s="61"/>
    </row>
    <row r="58" spans="2:21" ht="43.5" customHeight="1">
      <c r="B58" s="153"/>
      <c r="C58" s="808" t="s">
        <v>23</v>
      </c>
      <c r="D58" s="808"/>
      <c r="E58" s="808"/>
      <c r="F58" s="808" t="s">
        <v>348</v>
      </c>
      <c r="G58" s="808" t="s">
        <v>349</v>
      </c>
      <c r="H58" s="808"/>
      <c r="I58" s="808"/>
      <c r="J58" s="808"/>
      <c r="K58" s="808" t="s">
        <v>350</v>
      </c>
      <c r="L58" s="268" t="s">
        <v>351</v>
      </c>
      <c r="M58" s="808" t="s">
        <v>371</v>
      </c>
      <c r="N58" s="808"/>
      <c r="O58" s="808"/>
      <c r="P58" s="808"/>
      <c r="Q58" s="180"/>
      <c r="R58" s="808" t="s">
        <v>352</v>
      </c>
      <c r="S58" s="808"/>
      <c r="T58" s="808"/>
      <c r="U58" s="269"/>
    </row>
    <row r="59" spans="2:21">
      <c r="B59" s="153"/>
      <c r="C59" s="808"/>
      <c r="D59" s="808"/>
      <c r="E59" s="808"/>
      <c r="F59" s="808"/>
      <c r="G59" s="808"/>
      <c r="H59" s="808"/>
      <c r="I59" s="808"/>
      <c r="J59" s="808"/>
      <c r="K59" s="808"/>
      <c r="L59" s="270"/>
      <c r="M59" s="808"/>
      <c r="N59" s="808"/>
      <c r="O59" s="808"/>
      <c r="P59" s="808"/>
      <c r="Q59" s="180"/>
      <c r="R59" s="808"/>
      <c r="S59" s="808"/>
      <c r="T59" s="808"/>
      <c r="U59" s="269"/>
    </row>
    <row r="60" spans="2:21">
      <c r="B60" s="153"/>
      <c r="C60" s="808"/>
      <c r="D60" s="808"/>
      <c r="E60" s="808"/>
      <c r="F60" s="808"/>
      <c r="G60" s="808"/>
      <c r="H60" s="808"/>
      <c r="I60" s="808"/>
      <c r="J60" s="808"/>
      <c r="K60" s="808"/>
      <c r="L60" s="271"/>
      <c r="M60" s="808">
        <v>2013</v>
      </c>
      <c r="N60" s="808"/>
      <c r="O60" s="272"/>
      <c r="P60" s="273">
        <v>2012</v>
      </c>
      <c r="Q60" s="180"/>
      <c r="R60" s="274">
        <v>2013</v>
      </c>
      <c r="S60" s="275"/>
      <c r="T60" s="261">
        <v>2012</v>
      </c>
      <c r="U60" s="247"/>
    </row>
    <row r="61" spans="2:21">
      <c r="B61" s="153"/>
      <c r="C61" s="276" t="s">
        <v>353</v>
      </c>
      <c r="D61" s="277"/>
      <c r="E61" s="278"/>
      <c r="F61" s="279"/>
      <c r="G61" s="808"/>
      <c r="H61" s="808"/>
      <c r="I61" s="808"/>
      <c r="J61" s="280"/>
      <c r="K61" s="281"/>
      <c r="L61" s="7"/>
      <c r="M61" s="282"/>
      <c r="N61" s="283">
        <v>118509170</v>
      </c>
      <c r="O61" s="283"/>
      <c r="P61" s="284">
        <v>87509170</v>
      </c>
      <c r="Q61" s="61"/>
      <c r="R61" s="285">
        <v>118509170</v>
      </c>
      <c r="S61" s="286">
        <v>118509170</v>
      </c>
      <c r="T61" s="284">
        <v>87509170</v>
      </c>
      <c r="U61" s="23"/>
    </row>
    <row r="62" spans="2:21">
      <c r="B62" s="153"/>
      <c r="C62" s="808" t="s">
        <v>354</v>
      </c>
      <c r="D62" s="808"/>
      <c r="E62" s="808"/>
      <c r="F62" s="287"/>
      <c r="G62" s="808"/>
      <c r="H62" s="808"/>
      <c r="I62" s="808"/>
      <c r="J62" s="288"/>
      <c r="K62" s="258"/>
      <c r="L62" s="7"/>
      <c r="M62" s="289"/>
      <c r="N62" s="290">
        <f>(G62*K62)/365</f>
        <v>0</v>
      </c>
      <c r="O62" s="290"/>
      <c r="P62" s="290">
        <f>(I62*M62)/365</f>
        <v>0</v>
      </c>
      <c r="Q62" s="61"/>
      <c r="R62" s="290">
        <f>(K62*O62)/365</f>
        <v>0</v>
      </c>
      <c r="S62" s="286"/>
      <c r="T62" s="290">
        <f>(M62*Q62)/365</f>
        <v>0</v>
      </c>
      <c r="U62" s="23"/>
    </row>
    <row r="63" spans="2:21">
      <c r="B63" s="153"/>
      <c r="C63" s="291" t="s">
        <v>355</v>
      </c>
      <c r="D63" s="292"/>
      <c r="E63" s="293"/>
      <c r="F63" s="294"/>
      <c r="G63" s="808"/>
      <c r="H63" s="808"/>
      <c r="I63" s="808"/>
      <c r="J63" s="808"/>
      <c r="K63" s="295"/>
      <c r="L63" s="296"/>
      <c r="M63" s="289"/>
      <c r="N63" s="290">
        <f>(G63*K63)/365</f>
        <v>0</v>
      </c>
      <c r="O63" s="290"/>
      <c r="P63" s="297">
        <v>0</v>
      </c>
      <c r="Q63" s="61"/>
      <c r="R63" s="290">
        <f>(K63*O63)/365</f>
        <v>0</v>
      </c>
      <c r="S63" s="286" t="e">
        <f>(N63*#REF!)/365</f>
        <v>#REF!</v>
      </c>
      <c r="T63" s="290">
        <f>(M63*Q63)/365</f>
        <v>0</v>
      </c>
      <c r="U63" s="23"/>
    </row>
    <row r="64" spans="2:21">
      <c r="B64" s="153"/>
      <c r="C64" s="291" t="s">
        <v>356</v>
      </c>
      <c r="D64" s="292"/>
      <c r="E64" s="293"/>
      <c r="F64" s="298" t="s">
        <v>357</v>
      </c>
      <c r="G64" s="808">
        <v>11850917</v>
      </c>
      <c r="H64" s="808"/>
      <c r="I64" s="808"/>
      <c r="J64" s="808"/>
      <c r="K64" s="295"/>
      <c r="L64" s="296"/>
      <c r="M64" s="289"/>
      <c r="N64" s="290">
        <v>11850917</v>
      </c>
      <c r="O64" s="290"/>
      <c r="P64" s="290">
        <f>(I64*M64)/365</f>
        <v>0</v>
      </c>
      <c r="Q64" s="61"/>
      <c r="R64" s="299">
        <v>11850917</v>
      </c>
      <c r="S64" s="286">
        <v>0</v>
      </c>
      <c r="T64" s="290">
        <f>(M64*Q64)/365</f>
        <v>0</v>
      </c>
      <c r="U64" s="23"/>
    </row>
    <row r="65" spans="2:21">
      <c r="B65" s="153"/>
      <c r="C65" s="808" t="s">
        <v>358</v>
      </c>
      <c r="D65" s="808"/>
      <c r="E65" s="808"/>
      <c r="F65" s="808"/>
      <c r="G65" s="808"/>
      <c r="H65" s="808"/>
      <c r="I65" s="808"/>
      <c r="J65" s="808"/>
      <c r="K65" s="808"/>
      <c r="L65" s="300"/>
      <c r="M65" s="301"/>
      <c r="N65" s="302">
        <f>SUM(N61:N64)</f>
        <v>130360087</v>
      </c>
      <c r="O65" s="303"/>
      <c r="P65" s="259">
        <f>SUM(P61:P64)</f>
        <v>87509170</v>
      </c>
      <c r="Q65" s="61"/>
      <c r="R65" s="259">
        <f>SUM(R61:R64)</f>
        <v>130360087</v>
      </c>
      <c r="S65" s="258" t="e">
        <f>SUM(S61:S64)</f>
        <v>#REF!</v>
      </c>
      <c r="T65" s="304">
        <f>SUM(T61:T64)</f>
        <v>87509170</v>
      </c>
      <c r="U65" s="23"/>
    </row>
    <row r="66" spans="2:21" ht="15.75" thickBot="1">
      <c r="B66" s="153"/>
      <c r="C66" s="808"/>
      <c r="D66" s="808"/>
      <c r="E66" s="808"/>
      <c r="F66" s="808"/>
      <c r="G66" s="808"/>
      <c r="H66" s="808"/>
      <c r="I66" s="808"/>
      <c r="J66" s="808"/>
      <c r="K66" s="808"/>
      <c r="L66" s="269"/>
      <c r="M66" s="305"/>
      <c r="N66" s="306" t="e">
        <f>N54/N65</f>
        <v>#REF!</v>
      </c>
      <c r="O66" s="306"/>
      <c r="P66" s="307" t="e">
        <f>P54/P65</f>
        <v>#REF!</v>
      </c>
      <c r="Q66" s="61"/>
      <c r="R66" s="307" t="e">
        <f>R54/R65</f>
        <v>#REF!</v>
      </c>
      <c r="S66" s="308" t="e">
        <f>S54/S65</f>
        <v>#REF!</v>
      </c>
      <c r="T66" s="307" t="e">
        <f>T54/T65</f>
        <v>#REF!</v>
      </c>
      <c r="U66" s="23"/>
    </row>
    <row r="67" spans="2:21" ht="15.75" thickTop="1">
      <c r="B67" s="153"/>
      <c r="C67" s="808" t="s">
        <v>392</v>
      </c>
      <c r="D67" s="808"/>
      <c r="E67" s="808"/>
      <c r="F67" s="808"/>
      <c r="G67" s="808"/>
      <c r="H67" s="808"/>
      <c r="I67" s="808"/>
      <c r="J67" s="61"/>
      <c r="K67" s="61"/>
      <c r="L67" s="61"/>
      <c r="M67" s="61"/>
      <c r="N67" s="309" t="e">
        <f>N66</f>
        <v>#REF!</v>
      </c>
      <c r="O67" s="309"/>
      <c r="P67" s="260" t="e">
        <f>P54/N65</f>
        <v>#REF!</v>
      </c>
      <c r="Q67" s="61"/>
      <c r="R67" s="260" t="e">
        <f>R66</f>
        <v>#REF!</v>
      </c>
      <c r="T67" s="260" t="e">
        <f>T54/R65</f>
        <v>#REF!</v>
      </c>
    </row>
    <row r="68" spans="2:21">
      <c r="B68" s="153"/>
      <c r="C68" s="61"/>
      <c r="D68" s="61"/>
      <c r="E68" s="61"/>
      <c r="F68" s="61"/>
      <c r="G68" s="61"/>
      <c r="H68" s="61"/>
      <c r="I68" s="61"/>
      <c r="J68" s="61"/>
      <c r="K68" s="61"/>
      <c r="L68" s="61"/>
      <c r="M68" s="61"/>
      <c r="N68" s="74"/>
      <c r="O68" s="74"/>
      <c r="P68" s="223"/>
      <c r="Q68" s="61"/>
    </row>
    <row r="69" spans="2:21">
      <c r="B69" s="153"/>
      <c r="C69" s="110"/>
      <c r="D69" s="265"/>
      <c r="E69" s="265"/>
      <c r="F69" s="265"/>
      <c r="G69" s="265"/>
      <c r="H69" s="265"/>
      <c r="I69" s="7"/>
      <c r="J69" s="266"/>
      <c r="K69" s="7"/>
      <c r="L69" s="7"/>
      <c r="M69" s="267"/>
      <c r="N69" s="7"/>
      <c r="O69" s="7"/>
      <c r="P69" s="199"/>
      <c r="Q69" s="61"/>
    </row>
    <row r="70" spans="2:21" ht="15.75" thickBot="1">
      <c r="B70" s="153">
        <f>B52+0.1</f>
        <v>24.200000000000003</v>
      </c>
      <c r="C70" s="2" t="s">
        <v>212</v>
      </c>
      <c r="D70" s="61"/>
      <c r="E70" s="61"/>
      <c r="F70" s="61"/>
      <c r="G70" s="61"/>
      <c r="H70" s="61"/>
      <c r="I70" s="61"/>
      <c r="J70" s="61"/>
      <c r="K70" s="61"/>
      <c r="L70" s="61"/>
      <c r="M70" s="61"/>
      <c r="N70" s="244">
        <v>0</v>
      </c>
      <c r="O70" s="244"/>
      <c r="P70" s="224">
        <v>0</v>
      </c>
      <c r="Q70" s="61"/>
    </row>
    <row r="71" spans="2:21" ht="15.75" thickTop="1">
      <c r="B71" s="153"/>
      <c r="D71" s="61"/>
      <c r="E71" s="61"/>
      <c r="F71" s="61"/>
      <c r="G71" s="61"/>
      <c r="H71" s="61"/>
      <c r="I71" s="61"/>
      <c r="J71" s="61"/>
      <c r="K71" s="61"/>
      <c r="L71" s="61"/>
      <c r="M71" s="61"/>
      <c r="N71" s="74"/>
      <c r="O71" s="74"/>
      <c r="P71" s="223"/>
      <c r="Q71" s="61"/>
    </row>
    <row r="72" spans="2:21">
      <c r="B72" s="153"/>
      <c r="C72" s="808" t="s">
        <v>359</v>
      </c>
      <c r="D72" s="808"/>
      <c r="E72" s="808"/>
      <c r="F72" s="808"/>
      <c r="G72" s="808"/>
      <c r="H72" s="808"/>
      <c r="I72" s="808"/>
      <c r="J72" s="808"/>
      <c r="K72" s="808"/>
      <c r="L72" s="808"/>
      <c r="M72" s="808"/>
      <c r="N72" s="808"/>
      <c r="O72" s="808"/>
      <c r="P72" s="808"/>
      <c r="Q72" s="61"/>
    </row>
    <row r="73" spans="2:21">
      <c r="C73" s="808"/>
      <c r="D73" s="808"/>
      <c r="E73" s="808"/>
      <c r="F73" s="808"/>
      <c r="G73" s="808"/>
      <c r="H73" s="808"/>
      <c r="I73" s="808"/>
      <c r="J73" s="808"/>
      <c r="K73" s="808"/>
      <c r="L73" s="808"/>
      <c r="M73" s="808"/>
      <c r="N73" s="808"/>
      <c r="O73" s="808"/>
      <c r="P73" s="808"/>
    </row>
    <row r="74" spans="2:21">
      <c r="C74" s="61"/>
      <c r="D74" s="61"/>
      <c r="E74" s="61"/>
      <c r="F74" s="61"/>
      <c r="G74" s="61"/>
      <c r="H74" s="61"/>
      <c r="I74" s="61"/>
      <c r="J74" s="61"/>
      <c r="K74" s="61"/>
      <c r="L74" s="61"/>
      <c r="M74" s="61"/>
      <c r="N74" s="74"/>
      <c r="O74" s="74"/>
      <c r="P74" s="223"/>
    </row>
    <row r="75" spans="2:21">
      <c r="C75" s="61"/>
      <c r="D75" s="61"/>
      <c r="E75" s="61"/>
      <c r="F75" s="61"/>
      <c r="G75" s="61"/>
      <c r="H75" s="61"/>
      <c r="I75" s="61"/>
      <c r="J75" s="61"/>
      <c r="K75" s="61"/>
      <c r="L75" s="61"/>
      <c r="M75" s="61"/>
      <c r="N75" s="74"/>
      <c r="O75" s="74"/>
      <c r="P75" s="223"/>
    </row>
    <row r="76" spans="2:21">
      <c r="C76" s="61"/>
      <c r="D76" s="61"/>
      <c r="E76" s="61"/>
      <c r="F76" s="808" t="s">
        <v>519</v>
      </c>
      <c r="G76" s="808"/>
      <c r="H76" s="808"/>
      <c r="I76" s="808"/>
      <c r="J76" s="808"/>
      <c r="K76" s="808"/>
      <c r="L76" s="179"/>
      <c r="M76" s="179"/>
      <c r="N76" s="808" t="s">
        <v>520</v>
      </c>
      <c r="O76" s="808"/>
      <c r="P76" s="808"/>
    </row>
    <row r="77" spans="2:21">
      <c r="B77" s="52">
        <f>B50+1</f>
        <v>25</v>
      </c>
      <c r="C77" s="2" t="s">
        <v>362</v>
      </c>
      <c r="D77" s="61"/>
      <c r="E77" s="61"/>
      <c r="G77" s="83" t="s">
        <v>216</v>
      </c>
      <c r="H77" s="61"/>
      <c r="I77" s="808" t="s">
        <v>217</v>
      </c>
      <c r="J77" s="808"/>
      <c r="K77" s="808"/>
      <c r="L77" s="52"/>
      <c r="M77" s="52"/>
      <c r="N77" s="225" t="s">
        <v>216</v>
      </c>
      <c r="O77" s="225"/>
      <c r="P77" s="226" t="s">
        <v>217</v>
      </c>
    </row>
    <row r="78" spans="2:21">
      <c r="D78" s="61"/>
      <c r="E78" s="61"/>
      <c r="F78" s="61"/>
      <c r="G78" s="61"/>
      <c r="H78" s="61"/>
      <c r="I78" s="808" t="s">
        <v>218</v>
      </c>
      <c r="J78" s="808"/>
      <c r="K78" s="808"/>
      <c r="L78" s="83"/>
      <c r="M78" s="83"/>
      <c r="N78" s="74"/>
      <c r="O78" s="74"/>
      <c r="P78" s="227" t="s">
        <v>218</v>
      </c>
    </row>
    <row r="79" spans="2:21">
      <c r="C79" s="808" t="s">
        <v>219</v>
      </c>
      <c r="D79" s="808"/>
      <c r="E79" s="808"/>
      <c r="G79" s="159">
        <v>200</v>
      </c>
      <c r="H79" s="61"/>
      <c r="J79" s="159"/>
      <c r="K79" s="61"/>
      <c r="L79" s="61"/>
      <c r="M79" s="61"/>
      <c r="N79" s="228">
        <v>44.6</v>
      </c>
      <c r="O79" s="228"/>
      <c r="P79" s="223"/>
    </row>
    <row r="80" spans="2:21">
      <c r="C80" s="2" t="s">
        <v>220</v>
      </c>
      <c r="E80" s="61"/>
      <c r="G80" s="160">
        <v>38.75</v>
      </c>
      <c r="H80" s="61"/>
      <c r="I80" s="808">
        <f>G80/G79</f>
        <v>0.19375000000000001</v>
      </c>
      <c r="J80" s="808"/>
      <c r="K80" s="808"/>
      <c r="L80" s="229"/>
      <c r="M80" s="229"/>
      <c r="N80" s="230">
        <v>21.86</v>
      </c>
      <c r="O80" s="230"/>
      <c r="P80" s="231">
        <f>N80/N79</f>
        <v>0.49013452914798206</v>
      </c>
    </row>
    <row r="81" spans="2:19">
      <c r="C81" s="61"/>
      <c r="E81" s="61"/>
      <c r="F81" s="61"/>
      <c r="G81" s="61"/>
      <c r="H81" s="61"/>
      <c r="I81" s="61"/>
      <c r="J81" s="232"/>
      <c r="K81" s="61"/>
      <c r="L81" s="61"/>
      <c r="M81" s="232"/>
      <c r="N81" s="74"/>
      <c r="O81" s="74"/>
      <c r="P81" s="223"/>
    </row>
    <row r="82" spans="2:19">
      <c r="C82" s="61"/>
      <c r="E82" s="61"/>
      <c r="F82" s="61"/>
      <c r="G82" s="56">
        <v>2013</v>
      </c>
      <c r="H82" s="52"/>
      <c r="J82" s="61"/>
      <c r="K82" s="61"/>
      <c r="L82" s="61"/>
      <c r="M82" s="61"/>
      <c r="N82" s="212">
        <v>2012</v>
      </c>
      <c r="O82" s="212"/>
    </row>
    <row r="83" spans="2:19" s="1" customFormat="1">
      <c r="B83" s="53">
        <f>B77+1</f>
        <v>26</v>
      </c>
      <c r="C83" s="110" t="s">
        <v>221</v>
      </c>
      <c r="D83" s="110"/>
      <c r="E83" s="110"/>
      <c r="F83" s="110"/>
      <c r="G83" s="3" t="s">
        <v>222</v>
      </c>
      <c r="H83" s="5"/>
      <c r="J83" s="110"/>
      <c r="K83" s="110"/>
      <c r="L83" s="110"/>
      <c r="M83" s="110"/>
      <c r="N83" s="38" t="s">
        <v>222</v>
      </c>
      <c r="O83" s="38"/>
      <c r="S83" s="14"/>
    </row>
    <row r="84" spans="2:19">
      <c r="C84" s="61"/>
      <c r="E84" s="61"/>
      <c r="F84" s="61"/>
      <c r="G84" s="74"/>
      <c r="H84" s="61"/>
      <c r="J84" s="61"/>
      <c r="K84" s="61"/>
      <c r="L84" s="61"/>
      <c r="M84" s="61"/>
      <c r="N84" s="223"/>
      <c r="O84" s="223"/>
    </row>
    <row r="85" spans="2:19">
      <c r="C85" s="110" t="s">
        <v>223</v>
      </c>
      <c r="D85" s="110"/>
      <c r="E85" s="110"/>
      <c r="F85" s="110"/>
      <c r="G85" s="74"/>
      <c r="H85" s="61"/>
      <c r="J85" s="61"/>
      <c r="K85" s="61"/>
      <c r="L85" s="61"/>
      <c r="M85" s="61"/>
      <c r="N85" s="223"/>
      <c r="O85" s="223"/>
    </row>
    <row r="86" spans="2:19">
      <c r="C86" s="61"/>
      <c r="E86" s="61"/>
      <c r="F86" s="61"/>
      <c r="G86" s="74"/>
      <c r="H86" s="61"/>
      <c r="J86" s="61"/>
      <c r="K86" s="61"/>
      <c r="L86" s="61"/>
      <c r="M86" s="61"/>
      <c r="N86" s="223"/>
      <c r="O86" s="223"/>
    </row>
    <row r="87" spans="2:19">
      <c r="C87" s="4" t="s">
        <v>19</v>
      </c>
      <c r="E87" s="61"/>
      <c r="F87" s="61"/>
      <c r="G87" s="183">
        <f>4500+195960+311553+254811</f>
        <v>766824</v>
      </c>
      <c r="H87" s="61"/>
      <c r="J87" s="61"/>
      <c r="K87" s="61"/>
      <c r="L87" s="61"/>
      <c r="M87" s="61"/>
      <c r="N87" s="233">
        <v>872031</v>
      </c>
      <c r="O87" s="233"/>
    </row>
    <row r="88" spans="2:19" ht="15.75" thickBot="1">
      <c r="C88" s="61"/>
      <c r="E88" s="61"/>
      <c r="F88" s="61"/>
      <c r="G88" s="236">
        <f>SUM(G87:G87)</f>
        <v>766824</v>
      </c>
      <c r="H88" s="154"/>
      <c r="J88" s="61"/>
      <c r="K88" s="61"/>
      <c r="L88" s="61"/>
      <c r="M88" s="61"/>
      <c r="N88" s="237">
        <f>SUM(N87:N87)</f>
        <v>872031</v>
      </c>
      <c r="O88" s="239"/>
    </row>
    <row r="89" spans="2:19" ht="15.75" thickTop="1">
      <c r="C89" s="61"/>
      <c r="E89" s="61"/>
      <c r="F89" s="61"/>
      <c r="G89" s="61"/>
      <c r="H89" s="61"/>
      <c r="I89" s="61"/>
      <c r="J89" s="61"/>
      <c r="K89" s="61"/>
      <c r="L89" s="61"/>
      <c r="M89" s="61"/>
      <c r="N89" s="238"/>
      <c r="O89" s="238"/>
      <c r="P89" s="239"/>
    </row>
    <row r="90" spans="2:19">
      <c r="B90" s="52">
        <f>B83+1</f>
        <v>27</v>
      </c>
      <c r="C90" s="110" t="s">
        <v>227</v>
      </c>
    </row>
    <row r="92" spans="2:19">
      <c r="C92" s="808" t="s">
        <v>372</v>
      </c>
      <c r="D92" s="808"/>
      <c r="E92" s="808"/>
      <c r="F92" s="808"/>
      <c r="G92" s="808"/>
      <c r="H92" s="808"/>
      <c r="I92" s="808"/>
      <c r="J92" s="808"/>
      <c r="K92" s="808"/>
      <c r="L92" s="808"/>
      <c r="M92" s="808"/>
      <c r="N92" s="808"/>
      <c r="O92" s="808"/>
      <c r="P92" s="808"/>
      <c r="Q92" s="183"/>
    </row>
    <row r="93" spans="2:19">
      <c r="C93" s="808"/>
      <c r="D93" s="808"/>
      <c r="E93" s="808"/>
      <c r="F93" s="808"/>
      <c r="G93" s="808"/>
      <c r="H93" s="808"/>
      <c r="I93" s="808"/>
      <c r="J93" s="808"/>
      <c r="K93" s="808"/>
      <c r="L93" s="808"/>
      <c r="M93" s="808"/>
      <c r="N93" s="808"/>
      <c r="O93" s="808"/>
      <c r="P93" s="808"/>
      <c r="Q93" s="183"/>
    </row>
    <row r="94" spans="2:19">
      <c r="C94" s="240"/>
      <c r="D94" s="240"/>
      <c r="E94" s="240"/>
      <c r="F94" s="240"/>
      <c r="G94" s="240"/>
      <c r="H94" s="240"/>
      <c r="I94" s="240"/>
      <c r="J94" s="240"/>
      <c r="K94" s="240"/>
      <c r="L94" s="240"/>
      <c r="M94" s="240"/>
      <c r="N94" s="240"/>
      <c r="O94" s="240"/>
      <c r="P94" s="241"/>
      <c r="Q94" s="183"/>
    </row>
    <row r="95" spans="2:19">
      <c r="C95" s="240"/>
      <c r="D95" s="240"/>
      <c r="E95" s="240"/>
      <c r="F95" s="240"/>
      <c r="G95" s="240"/>
      <c r="H95" s="240"/>
      <c r="I95" s="240"/>
      <c r="J95" s="240"/>
      <c r="K95" s="240"/>
      <c r="L95" s="240"/>
      <c r="M95" s="240"/>
      <c r="N95" s="240"/>
      <c r="O95" s="240"/>
      <c r="P95" s="241"/>
      <c r="Q95" s="183"/>
    </row>
    <row r="96" spans="2:19">
      <c r="C96" s="61"/>
      <c r="D96" s="61"/>
      <c r="E96" s="61"/>
      <c r="F96" s="61"/>
      <c r="G96" s="61"/>
      <c r="H96" s="61"/>
      <c r="I96" s="61"/>
      <c r="J96" s="61"/>
      <c r="K96" s="61"/>
      <c r="L96" s="61"/>
      <c r="M96" s="61"/>
      <c r="N96" s="209" t="s">
        <v>40</v>
      </c>
      <c r="O96" s="209"/>
      <c r="P96" s="209" t="s">
        <v>41</v>
      </c>
      <c r="Q96" s="61"/>
    </row>
    <row r="97" spans="2:18">
      <c r="B97" s="52">
        <f>B90+1</f>
        <v>28</v>
      </c>
      <c r="C97" s="2" t="s">
        <v>229</v>
      </c>
      <c r="D97" s="61"/>
      <c r="E97" s="61"/>
      <c r="F97" s="61"/>
      <c r="G97" s="61"/>
      <c r="H97" s="61"/>
      <c r="I97" s="61"/>
      <c r="J97" s="61"/>
      <c r="K97" s="61"/>
      <c r="L97" s="61"/>
      <c r="M97" s="61"/>
      <c r="N97" s="3" t="s">
        <v>1</v>
      </c>
      <c r="O97" s="3"/>
      <c r="P97" s="38" t="s">
        <v>1</v>
      </c>
      <c r="Q97" s="61"/>
    </row>
    <row r="98" spans="2:18">
      <c r="D98" s="61"/>
      <c r="E98" s="61"/>
      <c r="F98" s="61"/>
      <c r="G98" s="61"/>
      <c r="H98" s="61"/>
      <c r="I98" s="61"/>
      <c r="J98" s="61"/>
      <c r="K98" s="61"/>
      <c r="L98" s="61"/>
      <c r="M98" s="61"/>
      <c r="N98" s="74"/>
      <c r="O98" s="74"/>
      <c r="P98" s="223"/>
      <c r="Q98" s="61"/>
    </row>
    <row r="99" spans="2:18" ht="15.75" thickBot="1">
      <c r="C99" s="2" t="s">
        <v>230</v>
      </c>
      <c r="D99" s="61"/>
      <c r="E99" s="61"/>
      <c r="F99" s="61"/>
      <c r="G99" s="61"/>
      <c r="H99" s="61"/>
      <c r="I99" s="61"/>
      <c r="J99" s="61"/>
      <c r="K99" s="61"/>
      <c r="L99" s="61"/>
      <c r="M99" s="61"/>
      <c r="N99" s="102" t="s">
        <v>231</v>
      </c>
      <c r="O99" s="102"/>
      <c r="P99" s="242" t="s">
        <v>231</v>
      </c>
      <c r="Q99" s="61"/>
    </row>
    <row r="100" spans="2:18" ht="15.75" thickTop="1">
      <c r="D100" s="61"/>
      <c r="E100" s="61"/>
      <c r="F100" s="61"/>
      <c r="G100" s="61"/>
      <c r="H100" s="61"/>
      <c r="I100" s="61"/>
      <c r="J100" s="61"/>
      <c r="K100" s="61"/>
      <c r="L100" s="61"/>
      <c r="M100" s="61"/>
      <c r="N100" s="238"/>
      <c r="O100" s="238"/>
      <c r="P100" s="239"/>
      <c r="Q100" s="61"/>
    </row>
    <row r="101" spans="2:18" ht="15.75" thickBot="1">
      <c r="C101" s="2" t="s">
        <v>232</v>
      </c>
      <c r="D101" s="61"/>
      <c r="E101" s="61"/>
      <c r="F101" s="61"/>
      <c r="G101" s="61"/>
      <c r="H101" s="61"/>
      <c r="I101" s="61"/>
      <c r="J101" s="61"/>
      <c r="K101" s="61"/>
      <c r="L101" s="61"/>
      <c r="M101" s="61"/>
      <c r="N101" s="102" t="s">
        <v>231</v>
      </c>
      <c r="O101" s="102"/>
      <c r="P101" s="242" t="s">
        <v>231</v>
      </c>
      <c r="Q101" s="61"/>
    </row>
    <row r="102" spans="2:18" ht="15.75" thickTop="1">
      <c r="D102" s="61"/>
      <c r="E102" s="61"/>
      <c r="F102" s="61"/>
      <c r="G102" s="61"/>
      <c r="H102" s="61"/>
      <c r="I102" s="61"/>
      <c r="J102" s="61"/>
      <c r="K102" s="61"/>
      <c r="L102" s="61"/>
      <c r="M102" s="61"/>
      <c r="N102" s="181"/>
      <c r="O102" s="181"/>
      <c r="P102" s="42"/>
      <c r="Q102" s="61"/>
    </row>
    <row r="103" spans="2:18" ht="15.75" thickBot="1">
      <c r="C103" s="2" t="s">
        <v>363</v>
      </c>
      <c r="D103" s="61"/>
      <c r="E103" s="61"/>
      <c r="F103" s="61"/>
      <c r="G103" s="61"/>
      <c r="H103" s="61"/>
      <c r="I103" s="61"/>
      <c r="J103" s="61"/>
      <c r="K103" s="61"/>
      <c r="L103" s="61"/>
      <c r="M103" s="61"/>
      <c r="N103" s="102">
        <v>74130</v>
      </c>
      <c r="O103" s="102"/>
      <c r="P103" s="242">
        <f>64400+32200+32200</f>
        <v>128800</v>
      </c>
      <c r="Q103" s="61"/>
    </row>
    <row r="104" spans="2:18" ht="15.75" thickTop="1">
      <c r="E104" s="61"/>
      <c r="F104" s="61"/>
      <c r="G104" s="61"/>
      <c r="H104" s="61"/>
      <c r="I104" s="61"/>
      <c r="J104" s="61"/>
      <c r="K104" s="61"/>
      <c r="L104" s="61"/>
      <c r="M104" s="61"/>
      <c r="N104" s="74"/>
      <c r="O104" s="74"/>
      <c r="Q104" s="61"/>
    </row>
    <row r="105" spans="2:18">
      <c r="C105" s="52"/>
      <c r="D105" s="23"/>
      <c r="I105" s="23"/>
      <c r="J105" s="23"/>
      <c r="P105" s="195"/>
      <c r="Q105" s="61"/>
    </row>
    <row r="106" spans="2:18">
      <c r="C106" s="52"/>
      <c r="D106" s="23"/>
      <c r="I106" s="23"/>
      <c r="J106" s="23"/>
      <c r="P106" s="195"/>
      <c r="Q106" s="61"/>
    </row>
    <row r="108" spans="2:18">
      <c r="C108" s="49" t="s">
        <v>521</v>
      </c>
      <c r="L108" s="83"/>
      <c r="N108" s="808" t="s">
        <v>30</v>
      </c>
      <c r="O108" s="808"/>
      <c r="P108" s="808"/>
      <c r="Q108" s="808"/>
      <c r="R108" s="808"/>
    </row>
    <row r="109" spans="2:18">
      <c r="C109" s="52"/>
      <c r="D109" s="23"/>
      <c r="I109" s="23"/>
      <c r="J109" s="23"/>
      <c r="P109" s="195"/>
      <c r="Q109" s="61"/>
    </row>
    <row r="110" spans="2:18">
      <c r="C110" s="52"/>
      <c r="D110" s="23"/>
      <c r="I110" s="23"/>
      <c r="J110" s="23"/>
      <c r="P110" s="195"/>
      <c r="Q110" s="61"/>
    </row>
    <row r="111" spans="2:18">
      <c r="C111" s="52"/>
      <c r="D111" s="23"/>
      <c r="I111" s="23"/>
      <c r="J111" s="23"/>
      <c r="P111" s="195"/>
      <c r="Q111" s="61"/>
    </row>
    <row r="112" spans="2:18">
      <c r="C112" s="52"/>
      <c r="D112" s="23"/>
      <c r="I112" s="23"/>
      <c r="J112" s="23"/>
      <c r="P112" s="195"/>
      <c r="Q112" s="61"/>
    </row>
    <row r="113" spans="3:17">
      <c r="C113" s="52"/>
      <c r="D113" s="23"/>
      <c r="I113" s="23"/>
      <c r="J113" s="23"/>
      <c r="P113" s="195"/>
      <c r="Q113" s="61"/>
    </row>
    <row r="114" spans="3:17">
      <c r="C114" s="52"/>
      <c r="D114" s="23"/>
      <c r="I114" s="23"/>
      <c r="J114" s="23"/>
      <c r="P114" s="195"/>
      <c r="Q114" s="61"/>
    </row>
    <row r="115" spans="3:17">
      <c r="C115" s="52"/>
      <c r="D115" s="23"/>
      <c r="I115" s="23"/>
      <c r="J115" s="23"/>
      <c r="P115" s="195"/>
      <c r="Q115" s="61"/>
    </row>
    <row r="116" spans="3:17">
      <c r="C116" s="52"/>
      <c r="D116" s="23"/>
      <c r="I116" s="23"/>
      <c r="J116" s="23"/>
      <c r="P116" s="195"/>
      <c r="Q116" s="61"/>
    </row>
    <row r="117" spans="3:17">
      <c r="C117" s="52"/>
      <c r="D117" s="23"/>
      <c r="I117" s="23"/>
      <c r="J117" s="23"/>
      <c r="P117" s="195"/>
      <c r="Q117" s="61"/>
    </row>
    <row r="118" spans="3:17">
      <c r="C118" s="52"/>
      <c r="D118" s="23"/>
      <c r="I118" s="23"/>
      <c r="J118" s="23"/>
      <c r="P118" s="195"/>
      <c r="Q118" s="61"/>
    </row>
    <row r="119" spans="3:17">
      <c r="C119" s="52"/>
      <c r="D119" s="23"/>
      <c r="I119" s="23"/>
      <c r="J119" s="23"/>
      <c r="P119" s="195"/>
      <c r="Q119" s="61"/>
    </row>
    <row r="120" spans="3:17">
      <c r="C120" s="52"/>
      <c r="D120" s="23"/>
      <c r="I120" s="23"/>
      <c r="J120" s="23"/>
      <c r="P120" s="195"/>
      <c r="Q120" s="61"/>
    </row>
    <row r="121" spans="3:17">
      <c r="C121" s="52"/>
      <c r="D121" s="23"/>
      <c r="I121" s="23"/>
      <c r="J121" s="23"/>
      <c r="P121" s="195"/>
      <c r="Q121" s="61"/>
    </row>
    <row r="122" spans="3:17">
      <c r="C122" s="52"/>
      <c r="D122" s="23"/>
      <c r="I122" s="23"/>
      <c r="J122" s="23"/>
      <c r="P122" s="195"/>
      <c r="Q122" s="61"/>
    </row>
    <row r="123" spans="3:17">
      <c r="C123" s="52"/>
      <c r="D123" s="23"/>
      <c r="I123" s="23"/>
      <c r="J123" s="23"/>
      <c r="P123" s="195"/>
      <c r="Q123" s="61"/>
    </row>
    <row r="124" spans="3:17">
      <c r="C124" s="52"/>
      <c r="D124" s="23"/>
      <c r="I124" s="23"/>
      <c r="J124" s="23"/>
      <c r="P124" s="195"/>
      <c r="Q124" s="61"/>
    </row>
    <row r="125" spans="3:17">
      <c r="C125" s="52"/>
      <c r="D125" s="23"/>
      <c r="I125" s="23"/>
      <c r="J125" s="23"/>
      <c r="P125" s="195"/>
      <c r="Q125" s="61"/>
    </row>
    <row r="126" spans="3:17">
      <c r="C126" s="52"/>
      <c r="D126" s="23"/>
      <c r="I126" s="23"/>
      <c r="J126" s="23"/>
      <c r="P126" s="195"/>
      <c r="Q126" s="61"/>
    </row>
    <row r="127" spans="3:17">
      <c r="C127" s="52"/>
      <c r="D127" s="23"/>
      <c r="I127" s="23"/>
      <c r="J127" s="23"/>
      <c r="P127" s="195"/>
      <c r="Q127" s="61"/>
    </row>
    <row r="128" spans="3:17">
      <c r="C128" s="52"/>
      <c r="D128" s="23"/>
      <c r="I128" s="23"/>
      <c r="J128" s="23"/>
      <c r="P128" s="195"/>
      <c r="Q128" s="61"/>
    </row>
    <row r="129" spans="2:17">
      <c r="C129" s="52"/>
      <c r="D129" s="23"/>
      <c r="I129" s="23"/>
      <c r="J129" s="23"/>
      <c r="P129" s="195"/>
      <c r="Q129" s="61"/>
    </row>
    <row r="130" spans="2:17">
      <c r="C130" s="52"/>
      <c r="D130" s="23"/>
      <c r="I130" s="23"/>
      <c r="J130" s="23"/>
      <c r="P130" s="195"/>
      <c r="Q130" s="61"/>
    </row>
    <row r="131" spans="2:17">
      <c r="C131" s="52"/>
      <c r="D131" s="23"/>
      <c r="I131" s="23"/>
      <c r="J131" s="23"/>
      <c r="P131" s="195"/>
      <c r="Q131" s="61"/>
    </row>
    <row r="132" spans="2:17">
      <c r="C132" s="52"/>
      <c r="D132" s="23"/>
      <c r="I132" s="23"/>
      <c r="J132" s="23"/>
      <c r="P132" s="195"/>
      <c r="Q132" s="61"/>
    </row>
    <row r="133" spans="2:17">
      <c r="C133" s="52"/>
      <c r="D133" s="23"/>
      <c r="I133" s="23"/>
      <c r="J133" s="23"/>
      <c r="P133" s="195"/>
      <c r="Q133" s="61"/>
    </row>
    <row r="134" spans="2:17">
      <c r="C134" s="52"/>
      <c r="D134" s="23"/>
      <c r="I134" s="23"/>
      <c r="J134" s="23"/>
      <c r="P134" s="195"/>
      <c r="Q134" s="61"/>
    </row>
    <row r="135" spans="2:17">
      <c r="C135" s="52"/>
      <c r="D135" s="23"/>
      <c r="I135" s="23"/>
      <c r="J135" s="23"/>
      <c r="P135" s="195"/>
      <c r="Q135" s="61"/>
    </row>
    <row r="136" spans="2:17">
      <c r="C136" s="52"/>
      <c r="D136" s="23"/>
      <c r="I136" s="23"/>
      <c r="J136" s="23"/>
      <c r="P136" s="195"/>
      <c r="Q136" s="61"/>
    </row>
    <row r="137" spans="2:17">
      <c r="C137" s="52"/>
      <c r="D137" s="23"/>
      <c r="I137" s="23"/>
      <c r="J137" s="23"/>
      <c r="P137" s="195"/>
      <c r="Q137" s="61"/>
    </row>
    <row r="138" spans="2:17">
      <c r="C138" s="52"/>
      <c r="D138" s="23"/>
      <c r="I138" s="23"/>
      <c r="J138" s="23"/>
      <c r="P138" s="195"/>
      <c r="Q138" s="61"/>
    </row>
    <row r="139" spans="2:17">
      <c r="C139" s="52"/>
      <c r="D139" s="23"/>
      <c r="I139" s="23"/>
      <c r="J139" s="23"/>
      <c r="P139" s="195"/>
      <c r="Q139" s="61"/>
    </row>
    <row r="140" spans="2:17">
      <c r="C140" s="52"/>
      <c r="D140" s="23"/>
      <c r="I140" s="23"/>
      <c r="J140" s="23"/>
      <c r="P140" s="195"/>
      <c r="Q140" s="61"/>
    </row>
    <row r="141" spans="2:17">
      <c r="C141" s="52"/>
      <c r="D141" s="23"/>
      <c r="I141" s="23"/>
      <c r="J141" s="23"/>
      <c r="P141" s="195"/>
      <c r="Q141" s="61"/>
    </row>
    <row r="142" spans="2:17">
      <c r="C142" s="61"/>
      <c r="D142" s="61"/>
      <c r="E142" s="61"/>
      <c r="F142" s="61"/>
      <c r="G142" s="61"/>
      <c r="H142" s="61"/>
      <c r="I142" s="61"/>
      <c r="J142" s="61"/>
      <c r="K142" s="61"/>
      <c r="L142" s="61"/>
      <c r="M142" s="61"/>
      <c r="N142" s="74" t="s">
        <v>302</v>
      </c>
      <c r="O142" s="74"/>
      <c r="P142" s="2"/>
    </row>
    <row r="143" spans="2:17">
      <c r="C143" s="2" t="s">
        <v>365</v>
      </c>
      <c r="G143" s="1"/>
      <c r="H143" s="61"/>
      <c r="I143" s="61"/>
      <c r="J143" s="61"/>
      <c r="K143" s="61"/>
      <c r="L143" s="61"/>
      <c r="M143" s="61"/>
      <c r="N143" s="74"/>
      <c r="O143" s="74"/>
      <c r="P143" s="243"/>
      <c r="Q143" s="61"/>
    </row>
    <row r="144" spans="2:17">
      <c r="B144" s="2"/>
      <c r="G144" s="1"/>
      <c r="H144" s="61"/>
      <c r="I144" s="61"/>
      <c r="J144" s="61"/>
      <c r="K144" s="61"/>
      <c r="L144" s="61"/>
      <c r="M144" s="61"/>
      <c r="N144" s="74"/>
      <c r="O144" s="74"/>
      <c r="Q144" s="61"/>
    </row>
    <row r="145" spans="3:18">
      <c r="C145" s="2" t="s">
        <v>237</v>
      </c>
      <c r="H145" s="61"/>
      <c r="I145" s="61"/>
      <c r="J145" s="61"/>
      <c r="K145" s="61"/>
      <c r="L145" s="61"/>
      <c r="M145" s="61"/>
      <c r="N145" s="169">
        <v>598752</v>
      </c>
      <c r="O145" s="310"/>
    </row>
    <row r="146" spans="3:18">
      <c r="C146" s="2" t="s">
        <v>238</v>
      </c>
      <c r="H146" s="61"/>
      <c r="I146" s="61"/>
      <c r="J146" s="61"/>
      <c r="K146" s="61"/>
      <c r="L146" s="61"/>
      <c r="M146" s="61"/>
      <c r="N146" s="168">
        <f>112524+15750</f>
        <v>128274</v>
      </c>
      <c r="O146" s="23"/>
    </row>
    <row r="147" spans="3:18">
      <c r="C147" s="2" t="s">
        <v>239</v>
      </c>
      <c r="H147" s="61"/>
      <c r="I147" s="61"/>
      <c r="J147" s="61"/>
      <c r="K147" s="61"/>
      <c r="L147" s="61"/>
      <c r="M147" s="61"/>
      <c r="N147" s="168">
        <v>2686</v>
      </c>
      <c r="O147" s="23"/>
      <c r="P147" s="223"/>
      <c r="Q147" s="61"/>
      <c r="R147" s="2" t="s">
        <v>380</v>
      </c>
    </row>
    <row r="148" spans="3:18">
      <c r="C148" s="2" t="s">
        <v>240</v>
      </c>
      <c r="N148" s="168">
        <f>122481+15020</f>
        <v>137501</v>
      </c>
      <c r="O148" s="23"/>
      <c r="P148" s="223"/>
      <c r="Q148" s="61"/>
    </row>
    <row r="149" spans="3:18">
      <c r="C149" s="2" t="s">
        <v>241</v>
      </c>
      <c r="N149" s="30">
        <f>56181</f>
        <v>56181</v>
      </c>
      <c r="O149" s="25"/>
      <c r="P149" s="223"/>
      <c r="Q149" s="61"/>
    </row>
    <row r="150" spans="3:18">
      <c r="C150" s="2" t="s">
        <v>242</v>
      </c>
      <c r="N150" s="168">
        <f>1089528</f>
        <v>1089528</v>
      </c>
      <c r="O150" s="23"/>
      <c r="P150" s="223"/>
      <c r="Q150" s="61"/>
      <c r="R150" s="167">
        <v>598752</v>
      </c>
    </row>
    <row r="151" spans="3:18">
      <c r="C151" s="2" t="s">
        <v>243</v>
      </c>
      <c r="N151" s="168">
        <f>229506+197700</f>
        <v>427206</v>
      </c>
      <c r="O151" s="23"/>
      <c r="P151" s="223"/>
      <c r="Q151" s="61"/>
      <c r="R151" s="168"/>
    </row>
    <row r="152" spans="3:18">
      <c r="C152" s="2" t="s">
        <v>244</v>
      </c>
      <c r="N152" s="168">
        <f>663095+15375</f>
        <v>678470</v>
      </c>
      <c r="O152" s="23"/>
      <c r="P152" s="223"/>
      <c r="Q152" s="61"/>
      <c r="R152" s="168">
        <v>112524</v>
      </c>
    </row>
    <row r="153" spans="3:18">
      <c r="C153" s="2" t="s">
        <v>245</v>
      </c>
      <c r="N153" s="168">
        <f>109074+15360</f>
        <v>124434</v>
      </c>
      <c r="O153" s="23"/>
      <c r="R153" s="168"/>
    </row>
    <row r="154" spans="3:18">
      <c r="C154" s="2" t="s">
        <v>246</v>
      </c>
      <c r="N154" s="31">
        <f>650794+15230</f>
        <v>666024</v>
      </c>
      <c r="O154" s="23"/>
      <c r="R154" s="168"/>
    </row>
    <row r="155" spans="3:18" ht="15.75" thickBot="1">
      <c r="N155" s="34">
        <f>SUM(N145:N154)</f>
        <v>3909056</v>
      </c>
      <c r="O155" s="25"/>
      <c r="R155" s="168"/>
    </row>
    <row r="156" spans="3:18" ht="15.75" thickTop="1">
      <c r="N156" s="25"/>
      <c r="O156" s="25"/>
      <c r="R156" s="168"/>
    </row>
    <row r="157" spans="3:18">
      <c r="C157" s="2" t="s">
        <v>303</v>
      </c>
      <c r="G157" s="1"/>
      <c r="R157" s="168"/>
    </row>
    <row r="158" spans="3:18">
      <c r="G158" s="1"/>
      <c r="R158" s="31"/>
    </row>
    <row r="159" spans="3:18" ht="15.75" thickBot="1">
      <c r="C159" s="2" t="s">
        <v>247</v>
      </c>
      <c r="J159" s="2" t="s">
        <v>247</v>
      </c>
      <c r="N159" s="167">
        <v>232474</v>
      </c>
      <c r="O159" s="23"/>
      <c r="R159" s="114">
        <f>SUM(R150:R158)</f>
        <v>711276</v>
      </c>
    </row>
    <row r="160" spans="3:18" ht="15.75" thickTop="1">
      <c r="C160" s="2" t="s">
        <v>248</v>
      </c>
      <c r="J160" s="2" t="s">
        <v>248</v>
      </c>
      <c r="N160" s="168"/>
      <c r="O160" s="23"/>
    </row>
    <row r="161" spans="3:15">
      <c r="C161" s="2" t="s">
        <v>249</v>
      </c>
      <c r="J161" s="2" t="s">
        <v>249</v>
      </c>
      <c r="N161" s="168">
        <v>1952868</v>
      </c>
      <c r="O161" s="23"/>
    </row>
    <row r="162" spans="3:15">
      <c r="C162" s="2" t="s">
        <v>250</v>
      </c>
      <c r="J162" s="2" t="s">
        <v>250</v>
      </c>
      <c r="N162" s="168"/>
      <c r="O162" s="23"/>
    </row>
    <row r="163" spans="3:15">
      <c r="C163" s="2" t="s">
        <v>251</v>
      </c>
      <c r="J163" s="2" t="s">
        <v>251</v>
      </c>
      <c r="N163" s="168">
        <v>162205</v>
      </c>
      <c r="O163" s="23"/>
    </row>
    <row r="164" spans="3:15">
      <c r="C164" s="2" t="s">
        <v>252</v>
      </c>
      <c r="J164" s="2" t="s">
        <v>252</v>
      </c>
      <c r="N164" s="168">
        <f>14688517</f>
        <v>14688517</v>
      </c>
      <c r="O164" s="23"/>
    </row>
    <row r="165" spans="3:15">
      <c r="C165" s="2" t="s">
        <v>253</v>
      </c>
      <c r="J165" s="2" t="s">
        <v>253</v>
      </c>
      <c r="N165" s="31">
        <v>1481661</v>
      </c>
      <c r="O165" s="23"/>
    </row>
    <row r="166" spans="3:15" ht="15.75" thickBot="1">
      <c r="C166" s="2" t="s">
        <v>254</v>
      </c>
      <c r="J166" s="2" t="s">
        <v>254</v>
      </c>
      <c r="N166" s="26">
        <f>SUM(N159:N165)</f>
        <v>18517725</v>
      </c>
      <c r="O166" s="23"/>
    </row>
    <row r="167" spans="3:15" ht="15.75" thickTop="1"/>
    <row r="178" spans="14:15">
      <c r="N178" s="1"/>
      <c r="O178" s="1"/>
    </row>
  </sheetData>
  <mergeCells count="25">
    <mergeCell ref="N108:R108"/>
    <mergeCell ref="F76:K76"/>
    <mergeCell ref="N76:P76"/>
    <mergeCell ref="I77:K77"/>
    <mergeCell ref="I78:K78"/>
    <mergeCell ref="I80:K80"/>
    <mergeCell ref="C67:I67"/>
    <mergeCell ref="G63:J63"/>
    <mergeCell ref="C72:P73"/>
    <mergeCell ref="C92:P93"/>
    <mergeCell ref="C79:E79"/>
    <mergeCell ref="G61:I61"/>
    <mergeCell ref="C62:E62"/>
    <mergeCell ref="G62:I62"/>
    <mergeCell ref="G64:J64"/>
    <mergeCell ref="C65:K66"/>
    <mergeCell ref="C8:T10"/>
    <mergeCell ref="C14:T16"/>
    <mergeCell ref="C58:E60"/>
    <mergeCell ref="F58:F60"/>
    <mergeCell ref="G58:J60"/>
    <mergeCell ref="K58:K60"/>
    <mergeCell ref="M58:P59"/>
    <mergeCell ref="R58:T59"/>
    <mergeCell ref="M60:N60"/>
  </mergeCells>
  <pageMargins left="0.7" right="0.22" top="0.52" bottom="0.55000000000000004" header="0.3" footer="0.3"/>
  <pageSetup scale="85" orientation="landscape" r:id="rId1"/>
</worksheet>
</file>

<file path=xl/worksheets/sheet17.xml><?xml version="1.0" encoding="utf-8"?>
<worksheet xmlns="http://schemas.openxmlformats.org/spreadsheetml/2006/main" xmlns:r="http://schemas.openxmlformats.org/officeDocument/2006/relationships">
  <dimension ref="A1:O611"/>
  <sheetViews>
    <sheetView view="pageBreakPreview" zoomScale="70" zoomScaleSheetLayoutView="70" workbookViewId="0">
      <selection activeCell="K7" sqref="K7"/>
    </sheetView>
  </sheetViews>
  <sheetFormatPr defaultRowHeight="15"/>
  <cols>
    <col min="1" max="1" width="2.42578125" style="22" customWidth="1"/>
    <col min="2" max="2" width="32.42578125" style="22" customWidth="1"/>
    <col min="3" max="3" width="9.140625" style="22"/>
    <col min="4" max="4" width="20.85546875" style="5" bestFit="1" customWidth="1"/>
    <col min="5" max="5" width="18.7109375" style="22" bestFit="1" customWidth="1"/>
    <col min="6" max="6" width="13.5703125" style="22" bestFit="1" customWidth="1"/>
    <col min="7" max="7" width="20.85546875" style="22" bestFit="1" customWidth="1"/>
    <col min="8" max="8" width="6.85546875" style="311" bestFit="1" customWidth="1"/>
    <col min="9" max="9" width="18.7109375" style="22" bestFit="1" customWidth="1"/>
    <col min="10" max="10" width="11.5703125" style="22" bestFit="1" customWidth="1"/>
    <col min="11" max="11" width="18.7109375" style="22" bestFit="1" customWidth="1"/>
    <col min="12" max="12" width="20.85546875" style="22" bestFit="1" customWidth="1"/>
    <col min="13" max="13" width="1.42578125" style="22" customWidth="1"/>
    <col min="14" max="14" width="20.85546875" style="22" customWidth="1"/>
    <col min="15" max="15" width="4.140625" style="25" bestFit="1" customWidth="1"/>
    <col min="16" max="16384" width="9.140625" style="22"/>
  </cols>
  <sheetData>
    <row r="1" spans="1:15">
      <c r="A1" s="123">
        <v>4</v>
      </c>
      <c r="B1" s="58" t="s">
        <v>137</v>
      </c>
      <c r="C1" s="10"/>
    </row>
    <row r="2" spans="1:15">
      <c r="A2" s="10"/>
      <c r="B2" s="10"/>
      <c r="C2" s="10"/>
      <c r="L2" s="808" t="s">
        <v>138</v>
      </c>
      <c r="M2" s="808"/>
      <c r="N2" s="808"/>
    </row>
    <row r="3" spans="1:15">
      <c r="A3" s="10"/>
      <c r="B3" s="808" t="s">
        <v>139</v>
      </c>
      <c r="C3" s="808"/>
      <c r="D3" s="808" t="s">
        <v>140</v>
      </c>
      <c r="E3" s="808"/>
      <c r="F3" s="808"/>
      <c r="G3" s="808"/>
      <c r="H3" s="808" t="s">
        <v>141</v>
      </c>
      <c r="I3" s="808"/>
      <c r="J3" s="808"/>
      <c r="K3" s="808"/>
      <c r="L3" s="808"/>
      <c r="M3" s="312"/>
      <c r="N3" s="808" t="s">
        <v>385</v>
      </c>
      <c r="O3" s="313"/>
    </row>
    <row r="4" spans="1:15" ht="60">
      <c r="A4" s="10"/>
      <c r="B4" s="808"/>
      <c r="C4" s="808"/>
      <c r="D4" s="314" t="s">
        <v>537</v>
      </c>
      <c r="E4" s="314" t="s">
        <v>387</v>
      </c>
      <c r="F4" s="315" t="s">
        <v>36</v>
      </c>
      <c r="G4" s="315" t="s">
        <v>388</v>
      </c>
      <c r="H4" s="314" t="s">
        <v>142</v>
      </c>
      <c r="I4" s="314" t="s">
        <v>386</v>
      </c>
      <c r="J4" s="315" t="s">
        <v>36</v>
      </c>
      <c r="K4" s="314" t="s">
        <v>143</v>
      </c>
      <c r="L4" s="315" t="s">
        <v>388</v>
      </c>
      <c r="M4" s="316"/>
      <c r="N4" s="808"/>
      <c r="O4" s="317"/>
    </row>
    <row r="5" spans="1:15">
      <c r="A5" s="10"/>
      <c r="B5" s="318"/>
      <c r="C5" s="318"/>
      <c r="D5" s="318"/>
      <c r="E5" s="318"/>
      <c r="F5" s="318"/>
      <c r="G5" s="318"/>
      <c r="H5" s="319"/>
      <c r="I5" s="318"/>
      <c r="J5" s="318"/>
      <c r="K5" s="318"/>
      <c r="L5" s="318"/>
      <c r="M5" s="318"/>
      <c r="N5" s="317"/>
      <c r="O5" s="317"/>
    </row>
    <row r="6" spans="1:15" s="325" customFormat="1">
      <c r="A6" s="320"/>
      <c r="B6" s="262" t="s">
        <v>144</v>
      </c>
      <c r="C6" s="321"/>
      <c r="D6" s="322">
        <v>346608529</v>
      </c>
      <c r="E6" s="171">
        <v>0</v>
      </c>
      <c r="F6" s="171">
        <v>0</v>
      </c>
      <c r="G6" s="322">
        <f t="shared" ref="G6:G20" si="0">D6+E6</f>
        <v>346608529</v>
      </c>
      <c r="H6" s="99">
        <v>0</v>
      </c>
      <c r="I6" s="171">
        <v>0</v>
      </c>
      <c r="J6" s="171">
        <v>0</v>
      </c>
      <c r="K6" s="171">
        <v>0</v>
      </c>
      <c r="L6" s="171">
        <f t="shared" ref="L6:L20" si="1">I6+K6</f>
        <v>0</v>
      </c>
      <c r="M6" s="323"/>
      <c r="N6" s="324">
        <f>G6-L6</f>
        <v>346608529</v>
      </c>
      <c r="O6" s="324">
        <f>H6-M6</f>
        <v>0</v>
      </c>
    </row>
    <row r="7" spans="1:15" s="325" customFormat="1">
      <c r="A7" s="320"/>
      <c r="B7" s="263" t="s">
        <v>145</v>
      </c>
      <c r="C7" s="321"/>
      <c r="D7" s="322">
        <v>2742706868</v>
      </c>
      <c r="E7" s="171">
        <v>0</v>
      </c>
      <c r="F7" s="171">
        <v>0</v>
      </c>
      <c r="G7" s="322">
        <f t="shared" si="0"/>
        <v>2742706868</v>
      </c>
      <c r="H7" s="326">
        <v>0.08</v>
      </c>
      <c r="I7" s="322">
        <v>920259358</v>
      </c>
      <c r="J7" s="171">
        <v>0</v>
      </c>
      <c r="K7" s="322">
        <f>(G7-I7)*H7/12*9</f>
        <v>109346850.60000001</v>
      </c>
      <c r="L7" s="322">
        <f t="shared" si="1"/>
        <v>1029606208.6</v>
      </c>
      <c r="M7" s="323"/>
      <c r="N7" s="324">
        <f t="shared" ref="N7:N20" si="2">G7-L7</f>
        <v>1713100659.4000001</v>
      </c>
      <c r="O7" s="327"/>
    </row>
    <row r="8" spans="1:15" s="325" customFormat="1">
      <c r="A8" s="320"/>
      <c r="B8" s="262" t="s">
        <v>146</v>
      </c>
      <c r="C8" s="321"/>
      <c r="D8" s="322">
        <v>9646000</v>
      </c>
      <c r="E8" s="171">
        <v>0</v>
      </c>
      <c r="F8" s="171">
        <v>0</v>
      </c>
      <c r="G8" s="322">
        <f t="shared" si="0"/>
        <v>9646000</v>
      </c>
      <c r="H8" s="326">
        <v>0.1</v>
      </c>
      <c r="I8" s="322">
        <v>4523676</v>
      </c>
      <c r="J8" s="171">
        <v>0</v>
      </c>
      <c r="K8" s="322">
        <f t="shared" ref="K8:K20" si="3">(G8-I8)*H8/12*9</f>
        <v>384174.3</v>
      </c>
      <c r="L8" s="322">
        <f t="shared" si="1"/>
        <v>4907850.3</v>
      </c>
      <c r="M8" s="323"/>
      <c r="N8" s="324">
        <f t="shared" si="2"/>
        <v>4738149.7</v>
      </c>
      <c r="O8" s="327"/>
    </row>
    <row r="9" spans="1:15" s="325" customFormat="1">
      <c r="A9" s="320"/>
      <c r="B9" s="262" t="s">
        <v>147</v>
      </c>
      <c r="C9" s="321"/>
      <c r="D9" s="322">
        <v>58488364</v>
      </c>
      <c r="E9" s="171">
        <v>0</v>
      </c>
      <c r="F9" s="171">
        <v>0</v>
      </c>
      <c r="G9" s="328">
        <f t="shared" si="0"/>
        <v>58488364</v>
      </c>
      <c r="H9" s="326">
        <v>0.02</v>
      </c>
      <c r="I9" s="322">
        <v>6655442</v>
      </c>
      <c r="J9" s="171">
        <v>0</v>
      </c>
      <c r="K9" s="322">
        <f t="shared" si="3"/>
        <v>777493.83000000007</v>
      </c>
      <c r="L9" s="322">
        <f t="shared" si="1"/>
        <v>7432935.8300000001</v>
      </c>
      <c r="M9" s="323"/>
      <c r="N9" s="324">
        <f t="shared" si="2"/>
        <v>51055428.170000002</v>
      </c>
      <c r="O9" s="327"/>
    </row>
    <row r="10" spans="1:15" s="325" customFormat="1">
      <c r="A10" s="320"/>
      <c r="B10" s="263" t="s">
        <v>148</v>
      </c>
      <c r="C10" s="320"/>
      <c r="D10" s="7">
        <v>2654065</v>
      </c>
      <c r="E10" s="171">
        <v>0</v>
      </c>
      <c r="F10" s="171">
        <v>0</v>
      </c>
      <c r="G10" s="328">
        <f t="shared" si="0"/>
        <v>2654065</v>
      </c>
      <c r="H10" s="326">
        <v>0.1</v>
      </c>
      <c r="I10" s="329">
        <v>1209181</v>
      </c>
      <c r="J10" s="171">
        <v>0</v>
      </c>
      <c r="K10" s="322">
        <f t="shared" si="3"/>
        <v>108366.29999999999</v>
      </c>
      <c r="L10" s="322">
        <f t="shared" si="1"/>
        <v>1317547.3</v>
      </c>
      <c r="M10" s="329"/>
      <c r="N10" s="324">
        <f t="shared" si="2"/>
        <v>1336517.7</v>
      </c>
      <c r="O10" s="330"/>
    </row>
    <row r="11" spans="1:15" s="325" customFormat="1">
      <c r="A11" s="320"/>
      <c r="B11" s="263" t="s">
        <v>149</v>
      </c>
      <c r="C11" s="320"/>
      <c r="D11" s="7">
        <v>7827297</v>
      </c>
      <c r="E11" s="329">
        <v>0</v>
      </c>
      <c r="F11" s="171">
        <v>0</v>
      </c>
      <c r="G11" s="322">
        <f t="shared" si="0"/>
        <v>7827297</v>
      </c>
      <c r="H11" s="326">
        <v>0.02</v>
      </c>
      <c r="I11" s="329">
        <v>893726</v>
      </c>
      <c r="J11" s="171">
        <v>0</v>
      </c>
      <c r="K11" s="322">
        <f t="shared" si="3"/>
        <v>104003.565</v>
      </c>
      <c r="L11" s="322">
        <f t="shared" si="1"/>
        <v>997729.56499999994</v>
      </c>
      <c r="M11" s="329"/>
      <c r="N11" s="324">
        <f t="shared" si="2"/>
        <v>6829567.4350000005</v>
      </c>
      <c r="O11" s="330"/>
    </row>
    <row r="12" spans="1:15" s="325" customFormat="1">
      <c r="A12" s="320"/>
      <c r="B12" s="263" t="s">
        <v>150</v>
      </c>
      <c r="C12" s="58"/>
      <c r="D12" s="264">
        <v>2343837</v>
      </c>
      <c r="E12" s="331">
        <v>0</v>
      </c>
      <c r="F12" s="171">
        <v>0</v>
      </c>
      <c r="G12" s="322">
        <f t="shared" si="0"/>
        <v>2343837</v>
      </c>
      <c r="H12" s="332">
        <v>0.1</v>
      </c>
      <c r="I12" s="331">
        <v>1099187</v>
      </c>
      <c r="J12" s="171">
        <v>0</v>
      </c>
      <c r="K12" s="322">
        <f t="shared" si="3"/>
        <v>93348.75</v>
      </c>
      <c r="L12" s="322">
        <f t="shared" si="1"/>
        <v>1192535.75</v>
      </c>
      <c r="M12" s="331"/>
      <c r="N12" s="324">
        <f t="shared" si="2"/>
        <v>1151301.25</v>
      </c>
      <c r="O12" s="333"/>
    </row>
    <row r="13" spans="1:15" s="325" customFormat="1">
      <c r="A13" s="320"/>
      <c r="B13" s="263" t="s">
        <v>151</v>
      </c>
      <c r="C13" s="320"/>
      <c r="D13" s="7">
        <v>3284000</v>
      </c>
      <c r="E13" s="329">
        <v>0</v>
      </c>
      <c r="F13" s="171">
        <v>0</v>
      </c>
      <c r="G13" s="322">
        <f t="shared" si="0"/>
        <v>3284000</v>
      </c>
      <c r="H13" s="326">
        <v>0.15</v>
      </c>
      <c r="I13" s="329">
        <v>2047852</v>
      </c>
      <c r="J13" s="171">
        <v>0</v>
      </c>
      <c r="K13" s="322">
        <f t="shared" si="3"/>
        <v>139066.65</v>
      </c>
      <c r="L13" s="322">
        <f>I13+K13</f>
        <v>2186918.65</v>
      </c>
      <c r="M13" s="329"/>
      <c r="N13" s="324">
        <f t="shared" si="2"/>
        <v>1097081.3500000001</v>
      </c>
      <c r="O13" s="330"/>
    </row>
    <row r="14" spans="1:15" s="325" customFormat="1">
      <c r="A14" s="320"/>
      <c r="B14" s="263" t="s">
        <v>152</v>
      </c>
      <c r="C14" s="58"/>
      <c r="D14" s="264">
        <v>34737942</v>
      </c>
      <c r="E14" s="331">
        <v>0</v>
      </c>
      <c r="F14" s="171">
        <v>0</v>
      </c>
      <c r="G14" s="322">
        <f t="shared" si="0"/>
        <v>34737942</v>
      </c>
      <c r="H14" s="332">
        <v>0.1</v>
      </c>
      <c r="I14" s="331">
        <v>16291020</v>
      </c>
      <c r="J14" s="171">
        <v>0</v>
      </c>
      <c r="K14" s="322">
        <f t="shared" si="3"/>
        <v>1383519.1500000001</v>
      </c>
      <c r="L14" s="322">
        <f t="shared" si="1"/>
        <v>17674539.149999999</v>
      </c>
      <c r="M14" s="331"/>
      <c r="N14" s="324">
        <f t="shared" si="2"/>
        <v>17063402.850000001</v>
      </c>
      <c r="O14" s="333"/>
    </row>
    <row r="15" spans="1:15" s="325" customFormat="1">
      <c r="A15" s="320"/>
      <c r="B15" s="263" t="s">
        <v>153</v>
      </c>
      <c r="C15" s="320"/>
      <c r="D15" s="7">
        <v>8255575</v>
      </c>
      <c r="E15" s="329">
        <v>0</v>
      </c>
      <c r="F15" s="171">
        <v>0</v>
      </c>
      <c r="G15" s="322">
        <f t="shared" si="0"/>
        <v>8255575</v>
      </c>
      <c r="H15" s="326">
        <v>0.02</v>
      </c>
      <c r="I15" s="329">
        <f>942627+0.25</f>
        <v>942627.25</v>
      </c>
      <c r="J15" s="171">
        <v>0</v>
      </c>
      <c r="K15" s="322">
        <f t="shared" si="3"/>
        <v>109694.21625000001</v>
      </c>
      <c r="L15" s="322">
        <f t="shared" si="1"/>
        <v>1052321.4662500001</v>
      </c>
      <c r="M15" s="329"/>
      <c r="N15" s="324">
        <f t="shared" si="2"/>
        <v>7203253.5337499995</v>
      </c>
      <c r="O15" s="330"/>
    </row>
    <row r="16" spans="1:15" s="325" customFormat="1">
      <c r="A16" s="320"/>
      <c r="B16" s="263" t="s">
        <v>154</v>
      </c>
      <c r="C16" s="320"/>
      <c r="D16" s="264">
        <v>18088759</v>
      </c>
      <c r="E16" s="331">
        <v>0</v>
      </c>
      <c r="F16" s="171">
        <v>0</v>
      </c>
      <c r="G16" s="322">
        <f t="shared" si="0"/>
        <v>18088759</v>
      </c>
      <c r="H16" s="332">
        <v>0.05</v>
      </c>
      <c r="I16" s="331">
        <f>4794161+0.35</f>
        <v>4794161.3499999996</v>
      </c>
      <c r="J16" s="171">
        <v>0</v>
      </c>
      <c r="K16" s="322">
        <f t="shared" si="3"/>
        <v>498547.41187500005</v>
      </c>
      <c r="L16" s="322">
        <f t="shared" si="1"/>
        <v>5292708.7618749999</v>
      </c>
      <c r="M16" s="331"/>
      <c r="N16" s="324">
        <f t="shared" si="2"/>
        <v>12796050.238125</v>
      </c>
      <c r="O16" s="333"/>
    </row>
    <row r="17" spans="1:15" s="325" customFormat="1">
      <c r="A17" s="320"/>
      <c r="B17" s="263" t="s">
        <v>155</v>
      </c>
      <c r="C17" s="58"/>
      <c r="D17" s="264">
        <v>17092000</v>
      </c>
      <c r="E17" s="331">
        <v>11194712</v>
      </c>
      <c r="F17" s="171">
        <v>0</v>
      </c>
      <c r="G17" s="322">
        <f t="shared" si="0"/>
        <v>28286712</v>
      </c>
      <c r="H17" s="332">
        <v>0.2</v>
      </c>
      <c r="I17" s="331">
        <v>10471871</v>
      </c>
      <c r="J17" s="171">
        <v>0</v>
      </c>
      <c r="K17" s="322">
        <f t="shared" si="3"/>
        <v>2672226.15</v>
      </c>
      <c r="L17" s="322">
        <f>I17+K17+0.25</f>
        <v>13144097.4</v>
      </c>
      <c r="M17" s="331"/>
      <c r="N17" s="324">
        <f t="shared" si="2"/>
        <v>15142614.6</v>
      </c>
      <c r="O17" s="333"/>
    </row>
    <row r="18" spans="1:15" s="325" customFormat="1">
      <c r="A18" s="320"/>
      <c r="B18" s="263" t="s">
        <v>156</v>
      </c>
      <c r="C18" s="58"/>
      <c r="D18" s="264">
        <v>10710284</v>
      </c>
      <c r="E18" s="331">
        <f>16000+451840</f>
        <v>467840</v>
      </c>
      <c r="F18" s="331">
        <v>150370</v>
      </c>
      <c r="G18" s="328">
        <f>D18+E18-F18</f>
        <v>11027754</v>
      </c>
      <c r="H18" s="332">
        <v>0.1</v>
      </c>
      <c r="I18" s="331">
        <v>2984757</v>
      </c>
      <c r="J18" s="322">
        <v>15037</v>
      </c>
      <c r="K18" s="322">
        <f>(G18-I18)*H18/12*9</f>
        <v>603224.77500000002</v>
      </c>
      <c r="L18" s="322">
        <f>I18+K18-J18</f>
        <v>3572944.7749999999</v>
      </c>
      <c r="M18" s="331"/>
      <c r="N18" s="324">
        <f t="shared" si="2"/>
        <v>7454809.2249999996</v>
      </c>
      <c r="O18" s="333"/>
    </row>
    <row r="19" spans="1:15" s="325" customFormat="1">
      <c r="A19" s="320"/>
      <c r="B19" s="263" t="s">
        <v>157</v>
      </c>
      <c r="C19" s="58"/>
      <c r="D19" s="264">
        <v>171554</v>
      </c>
      <c r="E19" s="171">
        <v>0</v>
      </c>
      <c r="F19" s="171">
        <v>0</v>
      </c>
      <c r="G19" s="322">
        <f t="shared" si="0"/>
        <v>171554</v>
      </c>
      <c r="H19" s="332">
        <v>0.1</v>
      </c>
      <c r="I19" s="331">
        <v>58997</v>
      </c>
      <c r="J19" s="171">
        <v>0</v>
      </c>
      <c r="K19" s="322">
        <f t="shared" si="3"/>
        <v>8441.7749999999996</v>
      </c>
      <c r="L19" s="322">
        <f t="shared" si="1"/>
        <v>67438.774999999994</v>
      </c>
      <c r="M19" s="331"/>
      <c r="N19" s="324">
        <f t="shared" si="2"/>
        <v>104115.22500000001</v>
      </c>
      <c r="O19" s="333"/>
    </row>
    <row r="20" spans="1:15" s="325" customFormat="1">
      <c r="A20" s="320"/>
      <c r="B20" s="263" t="s">
        <v>389</v>
      </c>
      <c r="C20" s="58"/>
      <c r="D20" s="264">
        <v>2525000</v>
      </c>
      <c r="E20" s="331">
        <v>263091</v>
      </c>
      <c r="F20" s="171">
        <v>0</v>
      </c>
      <c r="G20" s="322">
        <f t="shared" si="0"/>
        <v>2788091</v>
      </c>
      <c r="H20" s="332">
        <v>0.1</v>
      </c>
      <c r="I20" s="331">
        <v>252500</v>
      </c>
      <c r="J20" s="171">
        <v>0</v>
      </c>
      <c r="K20" s="322">
        <f t="shared" si="3"/>
        <v>190169.32499999998</v>
      </c>
      <c r="L20" s="322">
        <f t="shared" si="1"/>
        <v>442669.32499999995</v>
      </c>
      <c r="M20" s="331"/>
      <c r="N20" s="324">
        <f t="shared" si="2"/>
        <v>2345421.6749999998</v>
      </c>
      <c r="O20" s="333"/>
    </row>
    <row r="21" spans="1:15" s="325" customFormat="1" ht="15.75" thickBot="1">
      <c r="A21" s="334"/>
      <c r="B21" s="335" t="s">
        <v>24</v>
      </c>
      <c r="C21" s="336"/>
      <c r="D21" s="337">
        <f>SUM(D6:D20)</f>
        <v>3265140074</v>
      </c>
      <c r="E21" s="337">
        <f>SUM(E6:E20)</f>
        <v>11925643</v>
      </c>
      <c r="F21" s="337">
        <f>SUM(F6:F20)</f>
        <v>150370</v>
      </c>
      <c r="G21" s="337">
        <f>SUM(G6:G20)</f>
        <v>3276915347</v>
      </c>
      <c r="H21" s="338"/>
      <c r="I21" s="337">
        <f>SUM(I6:I20)</f>
        <v>972484355.60000002</v>
      </c>
      <c r="J21" s="337">
        <f>SUM(J6:J20)</f>
        <v>15037</v>
      </c>
      <c r="K21" s="337">
        <f>SUM(K6:K20)</f>
        <v>116419126.79812503</v>
      </c>
      <c r="L21" s="337">
        <f>SUM(L6:L20)</f>
        <v>1088888445.6481252</v>
      </c>
      <c r="M21" s="339"/>
      <c r="N21" s="340">
        <f>SUM(N6:N20)</f>
        <v>2188026901.3518748</v>
      </c>
      <c r="O21" s="333"/>
    </row>
    <row r="22" spans="1:15" ht="15.75" thickTop="1">
      <c r="A22" s="10"/>
      <c r="B22" s="10"/>
      <c r="C22" s="10"/>
      <c r="D22" s="9"/>
      <c r="E22" s="25"/>
      <c r="F22" s="25"/>
      <c r="G22" s="25"/>
      <c r="H22" s="319"/>
      <c r="I22" s="25"/>
      <c r="J22" s="25"/>
      <c r="K22" s="25"/>
      <c r="L22" s="25"/>
      <c r="M22" s="25"/>
      <c r="N22" s="25"/>
    </row>
    <row r="23" spans="1:15" ht="15.75" thickBot="1">
      <c r="A23" s="341"/>
      <c r="B23" s="341" t="s">
        <v>390</v>
      </c>
      <c r="C23" s="341"/>
      <c r="D23" s="114">
        <v>2588280601</v>
      </c>
      <c r="E23" s="114">
        <v>676154334</v>
      </c>
      <c r="F23" s="344">
        <v>0</v>
      </c>
      <c r="G23" s="34">
        <v>3265140074</v>
      </c>
      <c r="H23" s="342"/>
      <c r="I23" s="343">
        <v>806048167</v>
      </c>
      <c r="J23" s="344">
        <v>0</v>
      </c>
      <c r="K23" s="34">
        <v>166436189</v>
      </c>
      <c r="L23" s="34">
        <v>972484356</v>
      </c>
      <c r="M23" s="34"/>
      <c r="N23" s="34">
        <v>2292655718</v>
      </c>
    </row>
    <row r="24" spans="1:15" ht="15.75" thickTop="1">
      <c r="D24" s="9"/>
      <c r="E24" s="25"/>
      <c r="F24" s="25"/>
      <c r="G24" s="25"/>
      <c r="H24" s="319"/>
      <c r="I24" s="25"/>
      <c r="J24" s="25"/>
      <c r="K24" s="25"/>
      <c r="L24" s="25"/>
      <c r="M24" s="25"/>
      <c r="N24" s="25"/>
    </row>
    <row r="25" spans="1:15">
      <c r="D25" s="9"/>
      <c r="E25" s="25"/>
      <c r="F25" s="25"/>
      <c r="G25" s="25"/>
      <c r="H25" s="319"/>
      <c r="I25" s="25"/>
      <c r="J25" s="25"/>
      <c r="K25" s="25"/>
      <c r="L25" s="25"/>
      <c r="M25" s="25"/>
      <c r="N25" s="25"/>
    </row>
    <row r="26" spans="1:15">
      <c r="B26" s="22" t="s">
        <v>393</v>
      </c>
      <c r="D26" s="9"/>
      <c r="E26" s="25"/>
      <c r="F26" s="25"/>
      <c r="G26" s="25"/>
      <c r="H26" s="319"/>
      <c r="I26" s="25"/>
      <c r="J26" s="25"/>
      <c r="K26" s="25">
        <f>K21/9*3</f>
        <v>38806375.59937501</v>
      </c>
      <c r="L26" s="25"/>
      <c r="M26" s="25"/>
      <c r="N26" s="25">
        <f>N21-N6</f>
        <v>1841418372.3518748</v>
      </c>
    </row>
    <row r="27" spans="1:15">
      <c r="D27" s="9"/>
      <c r="E27" s="25"/>
      <c r="F27" s="25"/>
      <c r="G27" s="25"/>
      <c r="H27" s="319"/>
      <c r="I27" s="25"/>
      <c r="J27" s="25"/>
      <c r="K27" s="25"/>
      <c r="L27" s="25"/>
      <c r="M27" s="25"/>
      <c r="N27" s="25"/>
    </row>
    <row r="28" spans="1:15">
      <c r="D28" s="9"/>
      <c r="E28" s="25"/>
      <c r="F28" s="25"/>
      <c r="G28" s="25"/>
      <c r="H28" s="319"/>
      <c r="I28" s="25"/>
      <c r="J28" s="25"/>
      <c r="K28" s="25"/>
      <c r="L28" s="25"/>
      <c r="M28" s="25"/>
      <c r="N28" s="25"/>
    </row>
    <row r="29" spans="1:15">
      <c r="D29" s="9"/>
      <c r="E29" s="25"/>
      <c r="F29" s="25"/>
      <c r="G29" s="25"/>
      <c r="H29" s="319"/>
      <c r="I29" s="25"/>
      <c r="J29" s="25"/>
      <c r="K29" s="25"/>
      <c r="L29" s="25"/>
      <c r="M29" s="25"/>
      <c r="N29" s="25">
        <v>150000000</v>
      </c>
    </row>
    <row r="30" spans="1:15">
      <c r="D30" s="9"/>
      <c r="E30" s="25"/>
      <c r="F30" s="25"/>
      <c r="G30" s="25"/>
      <c r="H30" s="319"/>
      <c r="I30" s="25"/>
      <c r="J30" s="25"/>
      <c r="K30" s="25">
        <f>K26+N31</f>
        <v>50806375.59937501</v>
      </c>
      <c r="L30" s="25"/>
      <c r="M30" s="25"/>
      <c r="N30" s="25"/>
    </row>
    <row r="31" spans="1:15">
      <c r="D31" s="9"/>
      <c r="E31" s="25"/>
      <c r="F31" s="25"/>
      <c r="G31" s="25"/>
      <c r="H31" s="319"/>
      <c r="I31" s="25"/>
      <c r="J31" s="25"/>
      <c r="K31" s="25"/>
      <c r="L31" s="25"/>
      <c r="M31" s="25"/>
      <c r="N31" s="25">
        <f>N29*0.08</f>
        <v>12000000</v>
      </c>
    </row>
    <row r="32" spans="1:15">
      <c r="D32" s="9"/>
      <c r="E32" s="25"/>
      <c r="F32" s="25"/>
      <c r="G32" s="25"/>
      <c r="H32" s="319"/>
      <c r="I32" s="25"/>
      <c r="J32" s="25"/>
      <c r="K32" s="25"/>
      <c r="L32" s="25"/>
      <c r="M32" s="25"/>
      <c r="N32" s="25"/>
    </row>
    <row r="33" spans="4:14">
      <c r="D33" s="9"/>
      <c r="E33" s="25"/>
      <c r="F33" s="25"/>
      <c r="G33" s="25"/>
      <c r="H33" s="319"/>
      <c r="I33" s="25"/>
      <c r="J33" s="25"/>
      <c r="K33" s="25"/>
      <c r="L33" s="25"/>
      <c r="M33" s="25"/>
      <c r="N33" s="25"/>
    </row>
    <row r="34" spans="4:14">
      <c r="D34" s="9"/>
      <c r="E34" s="25"/>
      <c r="F34" s="25"/>
      <c r="G34" s="25">
        <f>116419127-77217178</f>
        <v>39201949</v>
      </c>
      <c r="H34" s="319"/>
      <c r="I34" s="25"/>
      <c r="J34" s="25"/>
      <c r="K34" s="25"/>
      <c r="L34" s="25"/>
      <c r="M34" s="25"/>
      <c r="N34" s="25"/>
    </row>
    <row r="35" spans="4:14">
      <c r="D35" s="9"/>
      <c r="E35" s="25"/>
      <c r="F35" s="25"/>
      <c r="G35" s="25"/>
      <c r="H35" s="319"/>
      <c r="I35" s="25"/>
      <c r="J35" s="25"/>
      <c r="K35" s="25"/>
      <c r="L35" s="25"/>
      <c r="M35" s="25"/>
      <c r="N35" s="25"/>
    </row>
    <row r="36" spans="4:14">
      <c r="D36" s="9"/>
      <c r="E36" s="25"/>
      <c r="F36" s="25"/>
      <c r="G36" s="25">
        <f>150370-15037</f>
        <v>135333</v>
      </c>
      <c r="H36" s="319"/>
      <c r="I36" s="25"/>
      <c r="J36" s="25"/>
      <c r="K36" s="25"/>
      <c r="L36" s="25"/>
      <c r="M36" s="25"/>
      <c r="N36" s="25"/>
    </row>
    <row r="37" spans="4:14">
      <c r="D37" s="9"/>
      <c r="E37" s="25"/>
      <c r="F37" s="25"/>
      <c r="G37" s="25"/>
      <c r="H37" s="319"/>
      <c r="I37" s="25"/>
      <c r="J37" s="25"/>
      <c r="K37" s="25"/>
      <c r="L37" s="25"/>
      <c r="M37" s="25"/>
      <c r="N37" s="25"/>
    </row>
    <row r="38" spans="4:14">
      <c r="D38" s="9"/>
      <c r="E38" s="25"/>
      <c r="F38" s="25"/>
      <c r="G38" s="25"/>
      <c r="H38" s="319"/>
      <c r="I38" s="25"/>
      <c r="J38" s="25"/>
      <c r="K38" s="25"/>
      <c r="L38" s="25"/>
      <c r="M38" s="25"/>
      <c r="N38" s="25"/>
    </row>
    <row r="39" spans="4:14">
      <c r="D39" s="9"/>
      <c r="E39" s="25"/>
      <c r="F39" s="25"/>
      <c r="G39" s="25"/>
      <c r="H39" s="319"/>
      <c r="I39" s="25"/>
      <c r="J39" s="25"/>
      <c r="K39" s="25"/>
      <c r="L39" s="25"/>
      <c r="M39" s="25"/>
      <c r="N39" s="25"/>
    </row>
    <row r="40" spans="4:14">
      <c r="D40" s="9"/>
      <c r="E40" s="25"/>
      <c r="F40" s="25"/>
      <c r="G40" s="25"/>
      <c r="H40" s="319"/>
      <c r="I40" s="25"/>
      <c r="J40" s="25"/>
      <c r="K40" s="25"/>
      <c r="L40" s="25"/>
      <c r="M40" s="25"/>
      <c r="N40" s="25"/>
    </row>
    <row r="41" spans="4:14">
      <c r="D41" s="9"/>
      <c r="E41" s="25"/>
      <c r="F41" s="25"/>
      <c r="G41" s="25"/>
      <c r="H41" s="319"/>
      <c r="I41" s="25"/>
      <c r="J41" s="25"/>
      <c r="K41" s="25"/>
      <c r="L41" s="25"/>
      <c r="M41" s="25"/>
      <c r="N41" s="25"/>
    </row>
    <row r="42" spans="4:14">
      <c r="D42" s="9"/>
      <c r="E42" s="25"/>
      <c r="F42" s="25"/>
      <c r="G42" s="25"/>
      <c r="H42" s="319"/>
      <c r="I42" s="25"/>
      <c r="J42" s="25"/>
      <c r="K42" s="25"/>
      <c r="L42" s="25"/>
      <c r="M42" s="25"/>
      <c r="N42" s="25"/>
    </row>
    <row r="43" spans="4:14">
      <c r="D43" s="9"/>
      <c r="E43" s="25"/>
      <c r="F43" s="25"/>
      <c r="G43" s="25"/>
      <c r="H43" s="319"/>
      <c r="I43" s="25"/>
      <c r="J43" s="25"/>
      <c r="K43" s="25"/>
      <c r="L43" s="25"/>
      <c r="M43" s="25"/>
      <c r="N43" s="25"/>
    </row>
    <row r="44" spans="4:14">
      <c r="D44" s="9"/>
      <c r="E44" s="25"/>
      <c r="F44" s="25"/>
      <c r="G44" s="25"/>
      <c r="H44" s="319"/>
      <c r="I44" s="25"/>
      <c r="J44" s="25"/>
      <c r="K44" s="25"/>
      <c r="L44" s="25"/>
      <c r="M44" s="25"/>
      <c r="N44" s="25"/>
    </row>
    <row r="45" spans="4:14">
      <c r="D45" s="9"/>
      <c r="E45" s="25"/>
      <c r="F45" s="25"/>
      <c r="G45" s="25"/>
      <c r="H45" s="319"/>
      <c r="I45" s="25"/>
      <c r="J45" s="25"/>
      <c r="K45" s="25"/>
      <c r="L45" s="25"/>
      <c r="M45" s="25"/>
      <c r="N45" s="25"/>
    </row>
    <row r="46" spans="4:14">
      <c r="D46" s="9"/>
      <c r="E46" s="25"/>
      <c r="F46" s="25"/>
      <c r="G46" s="25"/>
      <c r="H46" s="319"/>
      <c r="I46" s="25"/>
      <c r="J46" s="25"/>
      <c r="K46" s="25"/>
      <c r="L46" s="25"/>
      <c r="M46" s="25"/>
      <c r="N46" s="25"/>
    </row>
    <row r="47" spans="4:14">
      <c r="D47" s="9"/>
      <c r="E47" s="25"/>
      <c r="F47" s="25"/>
      <c r="G47" s="25"/>
      <c r="H47" s="319"/>
      <c r="I47" s="25"/>
      <c r="J47" s="25"/>
      <c r="K47" s="25"/>
      <c r="L47" s="25"/>
      <c r="M47" s="25"/>
      <c r="N47" s="25"/>
    </row>
    <row r="48" spans="4:14">
      <c r="D48" s="9"/>
      <c r="E48" s="25"/>
      <c r="F48" s="25"/>
      <c r="G48" s="25"/>
      <c r="H48" s="319"/>
      <c r="I48" s="25"/>
      <c r="J48" s="25"/>
      <c r="K48" s="25"/>
      <c r="L48" s="25"/>
      <c r="M48" s="25"/>
      <c r="N48" s="25"/>
    </row>
    <row r="49" spans="4:14">
      <c r="D49" s="9"/>
      <c r="E49" s="25"/>
      <c r="F49" s="25"/>
      <c r="G49" s="25"/>
      <c r="H49" s="319"/>
      <c r="I49" s="25"/>
      <c r="J49" s="25"/>
      <c r="K49" s="25"/>
      <c r="L49" s="25"/>
      <c r="M49" s="25"/>
      <c r="N49" s="25"/>
    </row>
    <row r="50" spans="4:14">
      <c r="D50" s="9"/>
      <c r="E50" s="25"/>
      <c r="F50" s="25"/>
      <c r="G50" s="25"/>
      <c r="H50" s="319"/>
      <c r="I50" s="25"/>
      <c r="J50" s="25"/>
      <c r="K50" s="25"/>
      <c r="L50" s="25"/>
      <c r="M50" s="25"/>
      <c r="N50" s="25"/>
    </row>
    <row r="51" spans="4:14">
      <c r="D51" s="9"/>
      <c r="E51" s="25"/>
      <c r="F51" s="25"/>
      <c r="G51" s="25"/>
      <c r="H51" s="319"/>
      <c r="I51" s="25"/>
      <c r="J51" s="25"/>
      <c r="K51" s="25"/>
      <c r="L51" s="25"/>
      <c r="M51" s="25"/>
      <c r="N51" s="25"/>
    </row>
    <row r="52" spans="4:14">
      <c r="D52" s="9"/>
      <c r="E52" s="25"/>
      <c r="F52" s="25"/>
      <c r="G52" s="25"/>
      <c r="H52" s="319"/>
      <c r="I52" s="25"/>
      <c r="J52" s="25"/>
      <c r="K52" s="25"/>
      <c r="L52" s="25"/>
      <c r="M52" s="25"/>
      <c r="N52" s="25"/>
    </row>
    <row r="53" spans="4:14">
      <c r="D53" s="9"/>
      <c r="E53" s="25"/>
      <c r="F53" s="25"/>
      <c r="G53" s="25"/>
      <c r="H53" s="319"/>
      <c r="I53" s="25"/>
      <c r="J53" s="25"/>
      <c r="K53" s="25"/>
      <c r="L53" s="25"/>
      <c r="M53" s="25"/>
      <c r="N53" s="25"/>
    </row>
    <row r="54" spans="4:14">
      <c r="D54" s="9"/>
      <c r="E54" s="25"/>
      <c r="F54" s="25"/>
      <c r="G54" s="25"/>
      <c r="H54" s="319"/>
      <c r="I54" s="25"/>
      <c r="J54" s="25"/>
      <c r="K54" s="25"/>
      <c r="L54" s="25"/>
      <c r="M54" s="25"/>
      <c r="N54" s="25"/>
    </row>
    <row r="55" spans="4:14">
      <c r="D55" s="9"/>
      <c r="E55" s="25"/>
      <c r="F55" s="25"/>
      <c r="G55" s="25"/>
      <c r="H55" s="319"/>
      <c r="I55" s="25"/>
      <c r="J55" s="25"/>
      <c r="K55" s="25"/>
      <c r="L55" s="25"/>
      <c r="M55" s="25"/>
      <c r="N55" s="25"/>
    </row>
    <row r="56" spans="4:14">
      <c r="D56" s="9"/>
      <c r="E56" s="25"/>
      <c r="F56" s="25"/>
      <c r="G56" s="25"/>
      <c r="H56" s="319"/>
      <c r="I56" s="25"/>
      <c r="J56" s="25"/>
      <c r="K56" s="25"/>
      <c r="L56" s="25"/>
      <c r="M56" s="25"/>
      <c r="N56" s="25"/>
    </row>
    <row r="57" spans="4:14">
      <c r="D57" s="9"/>
      <c r="E57" s="25"/>
      <c r="F57" s="25"/>
      <c r="G57" s="25"/>
      <c r="H57" s="319"/>
      <c r="I57" s="25"/>
      <c r="J57" s="25"/>
      <c r="K57" s="25"/>
      <c r="L57" s="25"/>
      <c r="M57" s="25"/>
      <c r="N57" s="25"/>
    </row>
    <row r="58" spans="4:14">
      <c r="D58" s="9"/>
      <c r="E58" s="25"/>
      <c r="F58" s="25"/>
      <c r="G58" s="25"/>
      <c r="H58" s="319"/>
      <c r="I58" s="25"/>
      <c r="J58" s="25"/>
      <c r="K58" s="25"/>
      <c r="L58" s="25"/>
      <c r="M58" s="25"/>
      <c r="N58" s="25"/>
    </row>
    <row r="59" spans="4:14">
      <c r="D59" s="9"/>
      <c r="E59" s="25"/>
      <c r="F59" s="25"/>
      <c r="G59" s="25"/>
      <c r="H59" s="319"/>
      <c r="I59" s="25"/>
      <c r="J59" s="25"/>
      <c r="K59" s="25"/>
      <c r="L59" s="25"/>
      <c r="M59" s="25"/>
      <c r="N59" s="25"/>
    </row>
    <row r="60" spans="4:14">
      <c r="D60" s="9"/>
      <c r="E60" s="25"/>
      <c r="F60" s="25"/>
      <c r="G60" s="25"/>
      <c r="H60" s="319"/>
      <c r="I60" s="25"/>
      <c r="J60" s="25"/>
      <c r="K60" s="25"/>
      <c r="L60" s="25"/>
      <c r="M60" s="25"/>
      <c r="N60" s="25"/>
    </row>
    <row r="61" spans="4:14">
      <c r="D61" s="9"/>
      <c r="E61" s="25"/>
      <c r="F61" s="25"/>
      <c r="G61" s="25"/>
      <c r="H61" s="319"/>
      <c r="I61" s="25"/>
      <c r="J61" s="25"/>
      <c r="K61" s="25"/>
      <c r="L61" s="25"/>
      <c r="M61" s="25"/>
      <c r="N61" s="25"/>
    </row>
    <row r="62" spans="4:14">
      <c r="D62" s="9"/>
      <c r="E62" s="25"/>
      <c r="F62" s="25"/>
      <c r="G62" s="25"/>
      <c r="H62" s="319"/>
      <c r="I62" s="25"/>
      <c r="J62" s="25"/>
      <c r="K62" s="25"/>
      <c r="L62" s="25"/>
      <c r="M62" s="25"/>
      <c r="N62" s="25"/>
    </row>
    <row r="63" spans="4:14">
      <c r="D63" s="9"/>
      <c r="E63" s="25"/>
      <c r="F63" s="25"/>
      <c r="G63" s="25"/>
      <c r="H63" s="319"/>
      <c r="I63" s="25"/>
      <c r="J63" s="25"/>
      <c r="K63" s="25"/>
      <c r="L63" s="25"/>
      <c r="M63" s="25"/>
      <c r="N63" s="25"/>
    </row>
    <row r="64" spans="4:14">
      <c r="D64" s="9"/>
      <c r="E64" s="25"/>
      <c r="F64" s="25"/>
      <c r="G64" s="25"/>
      <c r="H64" s="319"/>
      <c r="I64" s="25"/>
      <c r="J64" s="25"/>
      <c r="K64" s="25"/>
      <c r="L64" s="25"/>
      <c r="M64" s="25"/>
      <c r="N64" s="25"/>
    </row>
    <row r="65" spans="4:14">
      <c r="D65" s="9"/>
      <c r="E65" s="25"/>
      <c r="F65" s="25"/>
      <c r="G65" s="25"/>
      <c r="H65" s="319"/>
      <c r="I65" s="25"/>
      <c r="J65" s="25"/>
      <c r="K65" s="25"/>
      <c r="L65" s="25"/>
      <c r="M65" s="25"/>
      <c r="N65" s="25"/>
    </row>
    <row r="66" spans="4:14">
      <c r="D66" s="9"/>
      <c r="E66" s="25"/>
      <c r="F66" s="25"/>
      <c r="G66" s="25"/>
      <c r="H66" s="319"/>
      <c r="I66" s="25"/>
      <c r="J66" s="25"/>
      <c r="K66" s="25"/>
      <c r="L66" s="25"/>
      <c r="M66" s="25"/>
      <c r="N66" s="25"/>
    </row>
    <row r="67" spans="4:14">
      <c r="D67" s="9"/>
      <c r="E67" s="25"/>
      <c r="F67" s="25"/>
      <c r="G67" s="25"/>
      <c r="H67" s="319"/>
      <c r="I67" s="25"/>
      <c r="J67" s="25"/>
      <c r="K67" s="25"/>
      <c r="L67" s="25"/>
      <c r="M67" s="25"/>
      <c r="N67" s="25"/>
    </row>
    <row r="68" spans="4:14">
      <c r="D68" s="9"/>
      <c r="E68" s="25"/>
      <c r="F68" s="25"/>
      <c r="G68" s="25"/>
      <c r="H68" s="319"/>
      <c r="I68" s="25"/>
      <c r="J68" s="25"/>
      <c r="K68" s="25"/>
      <c r="L68" s="25"/>
      <c r="M68" s="25"/>
      <c r="N68" s="25"/>
    </row>
    <row r="69" spans="4:14">
      <c r="D69" s="9"/>
      <c r="E69" s="25"/>
      <c r="F69" s="25"/>
      <c r="G69" s="25"/>
      <c r="H69" s="319"/>
      <c r="I69" s="25"/>
      <c r="J69" s="25"/>
      <c r="K69" s="25"/>
      <c r="L69" s="25"/>
      <c r="M69" s="25"/>
      <c r="N69" s="25"/>
    </row>
    <row r="70" spans="4:14">
      <c r="D70" s="9"/>
      <c r="E70" s="25"/>
      <c r="F70" s="25"/>
      <c r="G70" s="25"/>
      <c r="H70" s="319"/>
      <c r="I70" s="25"/>
      <c r="J70" s="25"/>
      <c r="K70" s="25"/>
      <c r="L70" s="25"/>
      <c r="M70" s="25"/>
      <c r="N70" s="25"/>
    </row>
    <row r="71" spans="4:14">
      <c r="D71" s="9"/>
      <c r="E71" s="25"/>
      <c r="F71" s="25"/>
      <c r="G71" s="25"/>
      <c r="H71" s="319"/>
      <c r="I71" s="25"/>
      <c r="J71" s="25"/>
      <c r="K71" s="25"/>
      <c r="L71" s="25"/>
      <c r="M71" s="25"/>
      <c r="N71" s="25"/>
    </row>
    <row r="72" spans="4:14">
      <c r="D72" s="9"/>
      <c r="E72" s="25"/>
      <c r="F72" s="25"/>
      <c r="G72" s="25"/>
      <c r="H72" s="319"/>
      <c r="I72" s="25"/>
      <c r="J72" s="25"/>
      <c r="K72" s="25"/>
      <c r="L72" s="25"/>
      <c r="M72" s="25"/>
      <c r="N72" s="25"/>
    </row>
    <row r="73" spans="4:14">
      <c r="D73" s="9"/>
      <c r="E73" s="25"/>
      <c r="F73" s="25"/>
      <c r="G73" s="25"/>
      <c r="H73" s="319"/>
      <c r="I73" s="25"/>
      <c r="J73" s="25"/>
      <c r="K73" s="25"/>
      <c r="L73" s="25"/>
      <c r="M73" s="25"/>
      <c r="N73" s="25"/>
    </row>
    <row r="74" spans="4:14">
      <c r="D74" s="9"/>
      <c r="E74" s="25"/>
      <c r="F74" s="25"/>
      <c r="G74" s="25"/>
      <c r="H74" s="319"/>
      <c r="I74" s="25"/>
      <c r="J74" s="25"/>
      <c r="K74" s="25"/>
      <c r="L74" s="25"/>
      <c r="M74" s="25"/>
      <c r="N74" s="25"/>
    </row>
    <row r="75" spans="4:14">
      <c r="D75" s="9"/>
      <c r="E75" s="25"/>
      <c r="F75" s="25"/>
      <c r="G75" s="25"/>
      <c r="H75" s="319"/>
      <c r="I75" s="25"/>
      <c r="J75" s="25"/>
      <c r="K75" s="25"/>
      <c r="L75" s="25"/>
      <c r="M75" s="25"/>
      <c r="N75" s="25"/>
    </row>
    <row r="76" spans="4:14">
      <c r="D76" s="9"/>
      <c r="E76" s="25"/>
      <c r="F76" s="25"/>
      <c r="G76" s="25"/>
      <c r="H76" s="319"/>
      <c r="I76" s="25"/>
      <c r="J76" s="25"/>
      <c r="K76" s="25"/>
      <c r="L76" s="25"/>
      <c r="M76" s="25"/>
      <c r="N76" s="25"/>
    </row>
    <row r="77" spans="4:14">
      <c r="D77" s="9"/>
      <c r="E77" s="25"/>
      <c r="F77" s="25"/>
      <c r="G77" s="25"/>
      <c r="H77" s="319"/>
      <c r="I77" s="25"/>
      <c r="J77" s="25"/>
      <c r="K77" s="25"/>
      <c r="L77" s="25"/>
      <c r="M77" s="25"/>
      <c r="N77" s="25"/>
    </row>
    <row r="78" spans="4:14">
      <c r="D78" s="9"/>
      <c r="E78" s="25"/>
      <c r="F78" s="25"/>
      <c r="G78" s="25"/>
      <c r="H78" s="319"/>
      <c r="I78" s="25"/>
      <c r="J78" s="25"/>
      <c r="K78" s="25"/>
      <c r="L78" s="25"/>
      <c r="M78" s="25"/>
      <c r="N78" s="25"/>
    </row>
    <row r="79" spans="4:14">
      <c r="D79" s="9"/>
      <c r="E79" s="25"/>
      <c r="F79" s="25"/>
      <c r="G79" s="25"/>
      <c r="H79" s="319"/>
      <c r="I79" s="25"/>
      <c r="J79" s="25"/>
      <c r="K79" s="25"/>
      <c r="L79" s="25"/>
      <c r="M79" s="25"/>
      <c r="N79" s="25"/>
    </row>
    <row r="80" spans="4:14">
      <c r="D80" s="9"/>
      <c r="E80" s="25"/>
      <c r="F80" s="25"/>
      <c r="G80" s="25"/>
      <c r="H80" s="319"/>
      <c r="I80" s="25"/>
      <c r="J80" s="25"/>
      <c r="K80" s="25"/>
      <c r="L80" s="25"/>
      <c r="M80" s="25"/>
      <c r="N80" s="25"/>
    </row>
    <row r="81" spans="4:14">
      <c r="D81" s="9"/>
      <c r="E81" s="25"/>
      <c r="F81" s="25"/>
      <c r="G81" s="25"/>
      <c r="H81" s="319"/>
      <c r="I81" s="25"/>
      <c r="J81" s="25"/>
      <c r="K81" s="25"/>
      <c r="L81" s="25"/>
      <c r="M81" s="25"/>
      <c r="N81" s="25"/>
    </row>
    <row r="82" spans="4:14">
      <c r="D82" s="9"/>
      <c r="E82" s="25"/>
      <c r="F82" s="25"/>
      <c r="G82" s="25"/>
      <c r="H82" s="319"/>
      <c r="I82" s="25"/>
      <c r="J82" s="25"/>
      <c r="K82" s="25"/>
      <c r="L82" s="25"/>
      <c r="M82" s="25"/>
      <c r="N82" s="25"/>
    </row>
    <row r="83" spans="4:14">
      <c r="D83" s="9"/>
      <c r="E83" s="25"/>
      <c r="F83" s="25"/>
      <c r="G83" s="25"/>
      <c r="H83" s="319"/>
      <c r="I83" s="25"/>
      <c r="J83" s="25"/>
      <c r="K83" s="25"/>
      <c r="L83" s="25"/>
      <c r="M83" s="25"/>
      <c r="N83" s="25"/>
    </row>
    <row r="84" spans="4:14">
      <c r="D84" s="9"/>
      <c r="E84" s="25"/>
      <c r="F84" s="25"/>
      <c r="G84" s="25"/>
      <c r="H84" s="319"/>
      <c r="I84" s="25"/>
      <c r="J84" s="25"/>
      <c r="K84" s="25"/>
      <c r="L84" s="25"/>
      <c r="M84" s="25"/>
      <c r="N84" s="25"/>
    </row>
    <row r="85" spans="4:14">
      <c r="D85" s="9"/>
      <c r="E85" s="25"/>
      <c r="F85" s="25"/>
      <c r="G85" s="25"/>
      <c r="H85" s="319"/>
      <c r="I85" s="25"/>
      <c r="J85" s="25"/>
      <c r="K85" s="25"/>
      <c r="L85" s="25"/>
      <c r="M85" s="25"/>
      <c r="N85" s="25"/>
    </row>
    <row r="86" spans="4:14">
      <c r="D86" s="9"/>
      <c r="E86" s="25"/>
      <c r="F86" s="25"/>
      <c r="G86" s="25"/>
      <c r="H86" s="319"/>
      <c r="I86" s="25"/>
      <c r="J86" s="25"/>
      <c r="K86" s="25"/>
      <c r="L86" s="25"/>
      <c r="M86" s="25"/>
      <c r="N86" s="25"/>
    </row>
    <row r="87" spans="4:14">
      <c r="D87" s="9"/>
      <c r="E87" s="25"/>
      <c r="F87" s="25"/>
      <c r="G87" s="25"/>
      <c r="H87" s="319"/>
      <c r="I87" s="25"/>
      <c r="J87" s="25"/>
      <c r="K87" s="25"/>
      <c r="L87" s="25"/>
      <c r="M87" s="25"/>
      <c r="N87" s="25"/>
    </row>
    <row r="88" spans="4:14">
      <c r="D88" s="9"/>
      <c r="E88" s="25"/>
      <c r="F88" s="25"/>
      <c r="G88" s="25"/>
      <c r="H88" s="319"/>
      <c r="I88" s="25"/>
      <c r="J88" s="25"/>
      <c r="K88" s="25"/>
      <c r="L88" s="25"/>
      <c r="M88" s="25"/>
      <c r="N88" s="25"/>
    </row>
    <row r="89" spans="4:14">
      <c r="D89" s="9"/>
      <c r="E89" s="25"/>
      <c r="F89" s="25"/>
      <c r="G89" s="25"/>
      <c r="H89" s="319"/>
      <c r="I89" s="25"/>
      <c r="J89" s="25"/>
      <c r="K89" s="25"/>
      <c r="L89" s="25"/>
      <c r="M89" s="25"/>
      <c r="N89" s="25"/>
    </row>
    <row r="90" spans="4:14">
      <c r="D90" s="9"/>
      <c r="E90" s="25"/>
      <c r="F90" s="25"/>
      <c r="G90" s="25"/>
      <c r="H90" s="319"/>
      <c r="I90" s="25"/>
      <c r="J90" s="25"/>
      <c r="K90" s="25"/>
      <c r="L90" s="25"/>
      <c r="M90" s="25"/>
      <c r="N90" s="25"/>
    </row>
    <row r="91" spans="4:14">
      <c r="D91" s="9"/>
      <c r="E91" s="25"/>
      <c r="F91" s="25"/>
      <c r="G91" s="25"/>
      <c r="H91" s="319"/>
      <c r="I91" s="25"/>
      <c r="J91" s="25"/>
      <c r="K91" s="25"/>
      <c r="L91" s="25"/>
      <c r="M91" s="25"/>
      <c r="N91" s="25"/>
    </row>
    <row r="92" spans="4:14">
      <c r="D92" s="9"/>
      <c r="E92" s="25"/>
      <c r="F92" s="25"/>
      <c r="G92" s="25"/>
      <c r="H92" s="319"/>
      <c r="I92" s="25"/>
      <c r="J92" s="25"/>
      <c r="K92" s="25"/>
      <c r="L92" s="25"/>
      <c r="M92" s="25"/>
      <c r="N92" s="25"/>
    </row>
    <row r="93" spans="4:14">
      <c r="D93" s="9"/>
      <c r="E93" s="25"/>
      <c r="F93" s="25"/>
      <c r="G93" s="25"/>
      <c r="H93" s="319"/>
      <c r="I93" s="25"/>
      <c r="J93" s="25"/>
      <c r="K93" s="25"/>
      <c r="L93" s="25"/>
      <c r="M93" s="25"/>
      <c r="N93" s="25"/>
    </row>
    <row r="94" spans="4:14">
      <c r="D94" s="9"/>
      <c r="E94" s="25"/>
      <c r="F94" s="25"/>
      <c r="G94" s="25"/>
      <c r="H94" s="319"/>
      <c r="I94" s="25"/>
      <c r="J94" s="25"/>
      <c r="K94" s="25"/>
      <c r="L94" s="25"/>
      <c r="M94" s="25"/>
      <c r="N94" s="25"/>
    </row>
    <row r="95" spans="4:14">
      <c r="D95" s="9"/>
      <c r="E95" s="25"/>
      <c r="F95" s="25"/>
      <c r="G95" s="25"/>
      <c r="H95" s="319"/>
      <c r="I95" s="25"/>
      <c r="J95" s="25"/>
      <c r="K95" s="25"/>
      <c r="L95" s="25"/>
      <c r="M95" s="25"/>
      <c r="N95" s="25"/>
    </row>
    <row r="96" spans="4:14">
      <c r="D96" s="9"/>
      <c r="E96" s="25"/>
      <c r="F96" s="25"/>
      <c r="G96" s="25"/>
      <c r="H96" s="319"/>
      <c r="I96" s="25"/>
      <c r="J96" s="25"/>
      <c r="K96" s="25"/>
      <c r="L96" s="25"/>
      <c r="M96" s="25"/>
      <c r="N96" s="25"/>
    </row>
    <row r="97" spans="4:14">
      <c r="D97" s="9"/>
      <c r="E97" s="25"/>
      <c r="F97" s="25"/>
      <c r="G97" s="25"/>
      <c r="H97" s="319"/>
      <c r="I97" s="25"/>
      <c r="J97" s="25"/>
      <c r="K97" s="25"/>
      <c r="L97" s="25"/>
      <c r="M97" s="25"/>
      <c r="N97" s="25"/>
    </row>
    <row r="98" spans="4:14">
      <c r="D98" s="9"/>
      <c r="E98" s="25"/>
      <c r="F98" s="25"/>
      <c r="G98" s="25"/>
      <c r="H98" s="319"/>
      <c r="I98" s="25"/>
      <c r="J98" s="25"/>
      <c r="K98" s="25"/>
      <c r="L98" s="25"/>
      <c r="M98" s="25"/>
      <c r="N98" s="25"/>
    </row>
    <row r="99" spans="4:14">
      <c r="D99" s="9"/>
      <c r="E99" s="25"/>
      <c r="F99" s="25"/>
      <c r="G99" s="25"/>
      <c r="H99" s="319"/>
      <c r="I99" s="25"/>
      <c r="J99" s="25"/>
      <c r="K99" s="25"/>
      <c r="L99" s="25"/>
      <c r="M99" s="25"/>
      <c r="N99" s="25"/>
    </row>
    <row r="100" spans="4:14">
      <c r="D100" s="9"/>
      <c r="E100" s="25"/>
      <c r="F100" s="25"/>
      <c r="G100" s="25"/>
      <c r="H100" s="319"/>
      <c r="I100" s="25"/>
      <c r="J100" s="25"/>
      <c r="K100" s="25"/>
      <c r="L100" s="25"/>
      <c r="M100" s="25"/>
      <c r="N100" s="25"/>
    </row>
    <row r="101" spans="4:14">
      <c r="D101" s="9"/>
      <c r="E101" s="25"/>
      <c r="F101" s="25"/>
      <c r="G101" s="25"/>
      <c r="H101" s="319"/>
      <c r="I101" s="25"/>
      <c r="J101" s="25"/>
      <c r="K101" s="25"/>
      <c r="L101" s="25"/>
      <c r="M101" s="25"/>
      <c r="N101" s="25"/>
    </row>
    <row r="102" spans="4:14">
      <c r="D102" s="9"/>
      <c r="E102" s="25"/>
      <c r="F102" s="25"/>
      <c r="G102" s="25"/>
      <c r="H102" s="319"/>
      <c r="I102" s="25"/>
      <c r="J102" s="25"/>
      <c r="K102" s="25"/>
      <c r="L102" s="25"/>
      <c r="M102" s="25"/>
      <c r="N102" s="25"/>
    </row>
    <row r="103" spans="4:14">
      <c r="D103" s="9"/>
      <c r="E103" s="25"/>
      <c r="F103" s="25"/>
      <c r="G103" s="25"/>
      <c r="H103" s="319"/>
      <c r="I103" s="25"/>
      <c r="J103" s="25"/>
      <c r="K103" s="25"/>
      <c r="L103" s="25"/>
      <c r="M103" s="25"/>
      <c r="N103" s="25"/>
    </row>
    <row r="104" spans="4:14">
      <c r="D104" s="9"/>
      <c r="E104" s="25"/>
      <c r="F104" s="25"/>
      <c r="G104" s="25"/>
      <c r="H104" s="319"/>
      <c r="I104" s="25"/>
      <c r="J104" s="25"/>
      <c r="K104" s="25"/>
      <c r="L104" s="25"/>
      <c r="M104" s="25"/>
      <c r="N104" s="25"/>
    </row>
    <row r="105" spans="4:14">
      <c r="D105" s="9"/>
      <c r="E105" s="25"/>
      <c r="F105" s="25"/>
      <c r="G105" s="25"/>
      <c r="H105" s="319"/>
      <c r="I105" s="25"/>
      <c r="J105" s="25"/>
      <c r="K105" s="25"/>
      <c r="L105" s="25"/>
      <c r="M105" s="25"/>
      <c r="N105" s="25"/>
    </row>
    <row r="106" spans="4:14">
      <c r="D106" s="9"/>
      <c r="E106" s="25"/>
      <c r="F106" s="25"/>
      <c r="G106" s="25"/>
      <c r="H106" s="319"/>
      <c r="I106" s="25"/>
      <c r="J106" s="25"/>
      <c r="K106" s="25"/>
      <c r="L106" s="25"/>
      <c r="M106" s="25"/>
      <c r="N106" s="25"/>
    </row>
    <row r="107" spans="4:14">
      <c r="D107" s="9"/>
      <c r="E107" s="25"/>
      <c r="F107" s="25"/>
      <c r="G107" s="25"/>
      <c r="H107" s="319"/>
      <c r="I107" s="25"/>
      <c r="J107" s="25"/>
      <c r="K107" s="25"/>
      <c r="L107" s="25"/>
      <c r="M107" s="25"/>
      <c r="N107" s="25"/>
    </row>
    <row r="108" spans="4:14">
      <c r="D108" s="9"/>
      <c r="E108" s="25"/>
      <c r="F108" s="25"/>
      <c r="G108" s="25"/>
      <c r="H108" s="319"/>
      <c r="I108" s="25"/>
      <c r="J108" s="25"/>
      <c r="K108" s="25"/>
      <c r="L108" s="25"/>
      <c r="M108" s="25"/>
      <c r="N108" s="25"/>
    </row>
    <row r="109" spans="4:14">
      <c r="D109" s="9"/>
      <c r="E109" s="25"/>
      <c r="F109" s="25"/>
      <c r="G109" s="25"/>
      <c r="H109" s="319"/>
      <c r="I109" s="25"/>
      <c r="J109" s="25"/>
      <c r="K109" s="25"/>
      <c r="L109" s="25"/>
      <c r="M109" s="25"/>
      <c r="N109" s="25"/>
    </row>
    <row r="110" spans="4:14">
      <c r="D110" s="9"/>
      <c r="E110" s="25"/>
      <c r="F110" s="25"/>
      <c r="G110" s="25"/>
      <c r="H110" s="319"/>
      <c r="I110" s="25"/>
      <c r="J110" s="25"/>
      <c r="K110" s="25"/>
      <c r="L110" s="25"/>
      <c r="M110" s="25"/>
      <c r="N110" s="25"/>
    </row>
    <row r="111" spans="4:14">
      <c r="D111" s="9"/>
      <c r="E111" s="25"/>
      <c r="F111" s="25"/>
      <c r="G111" s="25"/>
      <c r="H111" s="319"/>
      <c r="I111" s="25"/>
      <c r="J111" s="25"/>
      <c r="K111" s="25"/>
      <c r="L111" s="25"/>
      <c r="M111" s="25"/>
      <c r="N111" s="25"/>
    </row>
    <row r="112" spans="4:14">
      <c r="D112" s="9"/>
      <c r="E112" s="25"/>
      <c r="F112" s="25"/>
      <c r="G112" s="25"/>
      <c r="H112" s="319"/>
      <c r="I112" s="25"/>
      <c r="J112" s="25"/>
      <c r="K112" s="25"/>
      <c r="L112" s="25"/>
      <c r="M112" s="25"/>
      <c r="N112" s="25"/>
    </row>
    <row r="113" spans="4:14">
      <c r="D113" s="9"/>
      <c r="E113" s="25"/>
      <c r="F113" s="25"/>
      <c r="G113" s="25"/>
      <c r="H113" s="319"/>
      <c r="I113" s="25"/>
      <c r="J113" s="25"/>
      <c r="K113" s="25"/>
      <c r="L113" s="25"/>
      <c r="M113" s="25"/>
      <c r="N113" s="25"/>
    </row>
    <row r="114" spans="4:14">
      <c r="D114" s="9"/>
      <c r="E114" s="25"/>
      <c r="F114" s="25"/>
      <c r="G114" s="25"/>
      <c r="H114" s="319"/>
      <c r="I114" s="25"/>
      <c r="J114" s="25"/>
      <c r="K114" s="25"/>
      <c r="L114" s="25"/>
      <c r="M114" s="25"/>
      <c r="N114" s="25"/>
    </row>
    <row r="115" spans="4:14">
      <c r="D115" s="9"/>
      <c r="E115" s="25"/>
      <c r="F115" s="25"/>
      <c r="G115" s="25"/>
      <c r="H115" s="319"/>
      <c r="I115" s="25"/>
      <c r="J115" s="25"/>
      <c r="K115" s="25"/>
      <c r="L115" s="25"/>
      <c r="M115" s="25"/>
      <c r="N115" s="25"/>
    </row>
    <row r="116" spans="4:14">
      <c r="D116" s="9"/>
      <c r="E116" s="25"/>
      <c r="F116" s="25"/>
      <c r="G116" s="25"/>
      <c r="H116" s="319"/>
      <c r="I116" s="25"/>
      <c r="J116" s="25"/>
      <c r="K116" s="25"/>
      <c r="L116" s="25"/>
      <c r="M116" s="25"/>
      <c r="N116" s="25"/>
    </row>
    <row r="117" spans="4:14">
      <c r="D117" s="9"/>
      <c r="E117" s="25"/>
      <c r="F117" s="25"/>
      <c r="G117" s="25"/>
      <c r="H117" s="319"/>
      <c r="I117" s="25"/>
      <c r="J117" s="25"/>
      <c r="K117" s="25"/>
      <c r="L117" s="25"/>
      <c r="M117" s="25"/>
      <c r="N117" s="25"/>
    </row>
    <row r="118" spans="4:14">
      <c r="D118" s="9"/>
      <c r="E118" s="25"/>
      <c r="F118" s="25"/>
      <c r="G118" s="25"/>
      <c r="H118" s="319"/>
      <c r="I118" s="25"/>
      <c r="J118" s="25"/>
      <c r="K118" s="25"/>
      <c r="L118" s="25"/>
      <c r="M118" s="25"/>
      <c r="N118" s="25"/>
    </row>
    <row r="119" spans="4:14">
      <c r="D119" s="9"/>
      <c r="E119" s="25"/>
      <c r="F119" s="25"/>
      <c r="G119" s="25"/>
      <c r="H119" s="319"/>
      <c r="I119" s="25"/>
      <c r="J119" s="25"/>
      <c r="K119" s="25"/>
      <c r="L119" s="25"/>
      <c r="M119" s="25"/>
      <c r="N119" s="25"/>
    </row>
    <row r="120" spans="4:14">
      <c r="D120" s="9"/>
      <c r="E120" s="25"/>
      <c r="F120" s="25"/>
      <c r="G120" s="25"/>
      <c r="H120" s="319"/>
      <c r="I120" s="25"/>
      <c r="J120" s="25"/>
      <c r="K120" s="25"/>
      <c r="L120" s="25"/>
      <c r="M120" s="25"/>
      <c r="N120" s="25"/>
    </row>
    <row r="121" spans="4:14">
      <c r="D121" s="9"/>
      <c r="E121" s="25"/>
      <c r="F121" s="25"/>
      <c r="G121" s="25"/>
      <c r="H121" s="319"/>
      <c r="I121" s="25"/>
      <c r="J121" s="25"/>
      <c r="K121" s="25"/>
      <c r="L121" s="25"/>
      <c r="M121" s="25"/>
      <c r="N121" s="25"/>
    </row>
    <row r="122" spans="4:14">
      <c r="D122" s="9"/>
      <c r="E122" s="25"/>
      <c r="F122" s="25"/>
      <c r="G122" s="25"/>
      <c r="H122" s="319"/>
      <c r="I122" s="25"/>
      <c r="J122" s="25"/>
      <c r="K122" s="25"/>
      <c r="L122" s="25"/>
      <c r="M122" s="25"/>
      <c r="N122" s="25"/>
    </row>
    <row r="123" spans="4:14">
      <c r="D123" s="9"/>
      <c r="E123" s="25"/>
      <c r="F123" s="25"/>
      <c r="G123" s="25"/>
      <c r="H123" s="319"/>
      <c r="I123" s="25"/>
      <c r="J123" s="25"/>
      <c r="K123" s="25"/>
      <c r="L123" s="25"/>
      <c r="M123" s="25"/>
      <c r="N123" s="25"/>
    </row>
    <row r="124" spans="4:14">
      <c r="D124" s="9"/>
      <c r="E124" s="25"/>
      <c r="F124" s="25"/>
      <c r="G124" s="25"/>
      <c r="H124" s="319"/>
      <c r="I124" s="25"/>
      <c r="J124" s="25"/>
      <c r="K124" s="25"/>
      <c r="L124" s="25"/>
      <c r="M124" s="25"/>
      <c r="N124" s="25"/>
    </row>
    <row r="125" spans="4:14">
      <c r="D125" s="9"/>
      <c r="E125" s="25"/>
      <c r="F125" s="25"/>
      <c r="G125" s="25"/>
      <c r="H125" s="319"/>
      <c r="I125" s="25"/>
      <c r="J125" s="25"/>
      <c r="K125" s="25"/>
      <c r="L125" s="25"/>
      <c r="M125" s="25"/>
      <c r="N125" s="25"/>
    </row>
    <row r="126" spans="4:14">
      <c r="D126" s="9"/>
      <c r="E126" s="25"/>
      <c r="F126" s="25"/>
      <c r="G126" s="25"/>
      <c r="H126" s="319"/>
      <c r="I126" s="25"/>
      <c r="J126" s="25"/>
      <c r="K126" s="25"/>
      <c r="L126" s="25"/>
      <c r="M126" s="25"/>
      <c r="N126" s="25"/>
    </row>
    <row r="127" spans="4:14">
      <c r="D127" s="9"/>
      <c r="E127" s="25"/>
      <c r="F127" s="25"/>
      <c r="G127" s="25"/>
      <c r="H127" s="319"/>
      <c r="I127" s="25"/>
      <c r="J127" s="25"/>
      <c r="K127" s="25"/>
      <c r="L127" s="25"/>
      <c r="M127" s="25"/>
      <c r="N127" s="25"/>
    </row>
    <row r="128" spans="4:14">
      <c r="D128" s="9"/>
      <c r="E128" s="25"/>
      <c r="F128" s="25"/>
      <c r="G128" s="25"/>
      <c r="H128" s="319"/>
      <c r="I128" s="25"/>
      <c r="J128" s="25"/>
      <c r="K128" s="25"/>
      <c r="L128" s="25"/>
      <c r="M128" s="25"/>
      <c r="N128" s="25"/>
    </row>
    <row r="129" spans="4:14">
      <c r="D129" s="9"/>
      <c r="E129" s="25"/>
      <c r="F129" s="25"/>
      <c r="G129" s="25"/>
      <c r="H129" s="319"/>
      <c r="I129" s="25"/>
      <c r="J129" s="25"/>
      <c r="K129" s="25"/>
      <c r="L129" s="25"/>
      <c r="M129" s="25"/>
      <c r="N129" s="25"/>
    </row>
    <row r="130" spans="4:14">
      <c r="D130" s="9"/>
      <c r="E130" s="25"/>
      <c r="F130" s="25"/>
      <c r="G130" s="25"/>
      <c r="H130" s="319"/>
      <c r="I130" s="25"/>
      <c r="J130" s="25"/>
      <c r="K130" s="25"/>
      <c r="L130" s="25"/>
      <c r="M130" s="25"/>
      <c r="N130" s="25"/>
    </row>
    <row r="131" spans="4:14">
      <c r="D131" s="9"/>
      <c r="E131" s="25"/>
      <c r="F131" s="25"/>
      <c r="G131" s="25"/>
      <c r="H131" s="319"/>
      <c r="I131" s="25"/>
      <c r="J131" s="25"/>
      <c r="K131" s="25"/>
      <c r="L131" s="25"/>
      <c r="M131" s="25"/>
      <c r="N131" s="25"/>
    </row>
    <row r="132" spans="4:14">
      <c r="D132" s="9"/>
      <c r="E132" s="25"/>
      <c r="F132" s="25"/>
      <c r="G132" s="25"/>
      <c r="H132" s="319"/>
      <c r="I132" s="25"/>
      <c r="J132" s="25"/>
      <c r="K132" s="25"/>
      <c r="L132" s="25"/>
      <c r="M132" s="25"/>
      <c r="N132" s="25"/>
    </row>
    <row r="133" spans="4:14">
      <c r="D133" s="9"/>
      <c r="E133" s="25"/>
      <c r="F133" s="25"/>
      <c r="G133" s="25"/>
      <c r="H133" s="319"/>
      <c r="I133" s="25"/>
      <c r="J133" s="25"/>
      <c r="K133" s="25"/>
      <c r="L133" s="25"/>
      <c r="M133" s="25"/>
      <c r="N133" s="25"/>
    </row>
    <row r="134" spans="4:14">
      <c r="D134" s="9"/>
      <c r="E134" s="25"/>
      <c r="F134" s="25"/>
      <c r="G134" s="25"/>
      <c r="H134" s="319"/>
      <c r="I134" s="25"/>
      <c r="J134" s="25"/>
      <c r="K134" s="25"/>
      <c r="L134" s="25"/>
      <c r="M134" s="25"/>
      <c r="N134" s="25"/>
    </row>
    <row r="135" spans="4:14">
      <c r="D135" s="9"/>
      <c r="E135" s="25"/>
      <c r="F135" s="25"/>
      <c r="G135" s="25"/>
      <c r="H135" s="319"/>
      <c r="I135" s="25"/>
      <c r="J135" s="25"/>
      <c r="K135" s="25"/>
      <c r="L135" s="25"/>
      <c r="M135" s="25"/>
      <c r="N135" s="25"/>
    </row>
    <row r="136" spans="4:14">
      <c r="D136" s="9"/>
      <c r="E136" s="25"/>
      <c r="F136" s="25"/>
      <c r="G136" s="25"/>
      <c r="H136" s="319"/>
      <c r="I136" s="25"/>
      <c r="J136" s="25"/>
      <c r="K136" s="25"/>
      <c r="L136" s="25"/>
      <c r="M136" s="25"/>
      <c r="N136" s="25"/>
    </row>
    <row r="137" spans="4:14">
      <c r="D137" s="9"/>
      <c r="E137" s="25"/>
      <c r="F137" s="25"/>
      <c r="G137" s="25"/>
      <c r="H137" s="319"/>
      <c r="I137" s="25"/>
      <c r="J137" s="25"/>
      <c r="K137" s="25"/>
      <c r="L137" s="25"/>
      <c r="M137" s="25"/>
      <c r="N137" s="25"/>
    </row>
    <row r="138" spans="4:14">
      <c r="D138" s="9"/>
      <c r="E138" s="25"/>
      <c r="F138" s="25"/>
      <c r="G138" s="25"/>
      <c r="H138" s="319"/>
      <c r="I138" s="25"/>
      <c r="J138" s="25"/>
      <c r="K138" s="25"/>
      <c r="L138" s="25"/>
      <c r="M138" s="25"/>
      <c r="N138" s="25"/>
    </row>
    <row r="139" spans="4:14">
      <c r="D139" s="9"/>
      <c r="E139" s="25"/>
      <c r="F139" s="25"/>
      <c r="G139" s="25"/>
      <c r="H139" s="319"/>
      <c r="I139" s="25"/>
      <c r="J139" s="25"/>
      <c r="K139" s="25"/>
      <c r="L139" s="25"/>
      <c r="M139" s="25"/>
      <c r="N139" s="25"/>
    </row>
    <row r="140" spans="4:14">
      <c r="D140" s="9"/>
      <c r="E140" s="25"/>
      <c r="F140" s="25"/>
      <c r="G140" s="25"/>
      <c r="H140" s="319"/>
      <c r="I140" s="25"/>
      <c r="J140" s="25"/>
      <c r="K140" s="25"/>
      <c r="L140" s="25"/>
      <c r="M140" s="25"/>
      <c r="N140" s="25"/>
    </row>
    <row r="141" spans="4:14">
      <c r="D141" s="9"/>
      <c r="E141" s="25"/>
      <c r="F141" s="25"/>
      <c r="G141" s="25"/>
      <c r="H141" s="319"/>
      <c r="I141" s="25"/>
      <c r="J141" s="25"/>
      <c r="K141" s="25"/>
      <c r="L141" s="25"/>
      <c r="M141" s="25"/>
      <c r="N141" s="25"/>
    </row>
    <row r="142" spans="4:14">
      <c r="D142" s="9"/>
      <c r="E142" s="25"/>
      <c r="F142" s="25"/>
      <c r="G142" s="25"/>
      <c r="H142" s="319"/>
      <c r="I142" s="25"/>
      <c r="J142" s="25"/>
      <c r="K142" s="25"/>
      <c r="L142" s="25"/>
      <c r="M142" s="25"/>
      <c r="N142" s="25"/>
    </row>
    <row r="143" spans="4:14">
      <c r="D143" s="9"/>
      <c r="E143" s="25"/>
      <c r="F143" s="25"/>
      <c r="G143" s="25"/>
      <c r="H143" s="319"/>
      <c r="I143" s="25"/>
      <c r="J143" s="25"/>
      <c r="K143" s="25"/>
      <c r="L143" s="25"/>
      <c r="M143" s="25"/>
      <c r="N143" s="25"/>
    </row>
    <row r="144" spans="4:14">
      <c r="D144" s="9"/>
      <c r="E144" s="25"/>
      <c r="F144" s="25"/>
      <c r="G144" s="25"/>
      <c r="H144" s="319"/>
      <c r="I144" s="25"/>
      <c r="J144" s="25"/>
      <c r="K144" s="25"/>
      <c r="L144" s="25"/>
      <c r="M144" s="25"/>
      <c r="N144" s="25"/>
    </row>
    <row r="145" spans="4:14">
      <c r="D145" s="9"/>
      <c r="E145" s="25"/>
      <c r="F145" s="25"/>
      <c r="G145" s="25"/>
      <c r="H145" s="319"/>
      <c r="I145" s="25"/>
      <c r="J145" s="25"/>
      <c r="K145" s="25"/>
      <c r="L145" s="25"/>
      <c r="M145" s="25"/>
      <c r="N145" s="25"/>
    </row>
    <row r="146" spans="4:14">
      <c r="D146" s="9"/>
      <c r="E146" s="25"/>
      <c r="F146" s="25"/>
      <c r="G146" s="25"/>
      <c r="H146" s="319"/>
      <c r="I146" s="25"/>
      <c r="J146" s="25"/>
      <c r="K146" s="25"/>
      <c r="L146" s="25"/>
      <c r="M146" s="25"/>
      <c r="N146" s="25"/>
    </row>
    <row r="147" spans="4:14">
      <c r="D147" s="9"/>
      <c r="E147" s="25"/>
      <c r="F147" s="25"/>
      <c r="G147" s="25"/>
      <c r="H147" s="319"/>
      <c r="I147" s="25"/>
      <c r="J147" s="25"/>
      <c r="K147" s="25"/>
      <c r="L147" s="25"/>
      <c r="M147" s="25"/>
      <c r="N147" s="25"/>
    </row>
    <row r="148" spans="4:14">
      <c r="D148" s="9"/>
      <c r="E148" s="25"/>
      <c r="F148" s="25"/>
      <c r="G148" s="25"/>
      <c r="H148" s="319"/>
      <c r="I148" s="25"/>
      <c r="J148" s="25"/>
      <c r="K148" s="25"/>
      <c r="L148" s="25"/>
      <c r="M148" s="25"/>
      <c r="N148" s="25"/>
    </row>
    <row r="149" spans="4:14">
      <c r="D149" s="9"/>
      <c r="E149" s="25"/>
      <c r="F149" s="25"/>
      <c r="G149" s="25"/>
      <c r="H149" s="319"/>
      <c r="I149" s="25"/>
      <c r="J149" s="25"/>
      <c r="K149" s="25"/>
      <c r="L149" s="25"/>
      <c r="M149" s="25"/>
      <c r="N149" s="25"/>
    </row>
    <row r="150" spans="4:14">
      <c r="D150" s="9"/>
      <c r="E150" s="25"/>
      <c r="F150" s="25"/>
      <c r="G150" s="25"/>
      <c r="H150" s="319"/>
      <c r="I150" s="25"/>
      <c r="J150" s="25"/>
      <c r="K150" s="25"/>
      <c r="L150" s="25"/>
      <c r="M150" s="25"/>
      <c r="N150" s="25"/>
    </row>
    <row r="151" spans="4:14">
      <c r="D151" s="9"/>
      <c r="E151" s="25"/>
      <c r="F151" s="25"/>
      <c r="G151" s="25"/>
      <c r="H151" s="319"/>
      <c r="I151" s="25"/>
      <c r="J151" s="25"/>
      <c r="K151" s="25"/>
      <c r="L151" s="25"/>
      <c r="M151" s="25"/>
      <c r="N151" s="25"/>
    </row>
    <row r="152" spans="4:14">
      <c r="D152" s="9"/>
      <c r="E152" s="25"/>
      <c r="F152" s="25"/>
      <c r="G152" s="25"/>
      <c r="H152" s="319"/>
      <c r="I152" s="25"/>
      <c r="J152" s="25"/>
      <c r="K152" s="25"/>
      <c r="L152" s="25"/>
      <c r="M152" s="25"/>
      <c r="N152" s="25"/>
    </row>
    <row r="153" spans="4:14">
      <c r="D153" s="9"/>
      <c r="E153" s="25"/>
      <c r="F153" s="25"/>
      <c r="G153" s="25"/>
      <c r="H153" s="319"/>
      <c r="I153" s="25"/>
      <c r="J153" s="25"/>
      <c r="K153" s="25"/>
      <c r="L153" s="25"/>
      <c r="M153" s="25"/>
      <c r="N153" s="25"/>
    </row>
    <row r="154" spans="4:14">
      <c r="D154" s="9"/>
      <c r="E154" s="25"/>
      <c r="F154" s="25"/>
      <c r="G154" s="25"/>
      <c r="H154" s="319"/>
      <c r="I154" s="25"/>
      <c r="J154" s="25"/>
      <c r="K154" s="25"/>
      <c r="L154" s="25"/>
      <c r="M154" s="25"/>
      <c r="N154" s="25"/>
    </row>
    <row r="155" spans="4:14">
      <c r="D155" s="9"/>
      <c r="E155" s="25"/>
      <c r="F155" s="25"/>
      <c r="G155" s="25"/>
      <c r="H155" s="319"/>
      <c r="I155" s="25"/>
      <c r="J155" s="25"/>
      <c r="K155" s="25"/>
      <c r="L155" s="25"/>
      <c r="M155" s="25"/>
      <c r="N155" s="25"/>
    </row>
    <row r="156" spans="4:14">
      <c r="D156" s="9"/>
      <c r="E156" s="25"/>
      <c r="F156" s="25"/>
      <c r="G156" s="25"/>
      <c r="H156" s="319"/>
      <c r="I156" s="25"/>
      <c r="J156" s="25"/>
      <c r="K156" s="25"/>
      <c r="L156" s="25"/>
      <c r="M156" s="25"/>
      <c r="N156" s="25"/>
    </row>
    <row r="157" spans="4:14">
      <c r="D157" s="9"/>
      <c r="E157" s="25"/>
      <c r="F157" s="25"/>
      <c r="G157" s="25"/>
      <c r="H157" s="319"/>
      <c r="I157" s="25"/>
      <c r="J157" s="25"/>
      <c r="K157" s="25"/>
      <c r="L157" s="25"/>
      <c r="M157" s="25"/>
      <c r="N157" s="25"/>
    </row>
    <row r="158" spans="4:14">
      <c r="D158" s="9"/>
      <c r="E158" s="25"/>
      <c r="F158" s="25"/>
      <c r="G158" s="25"/>
      <c r="H158" s="319"/>
      <c r="I158" s="25"/>
      <c r="J158" s="25"/>
      <c r="K158" s="25"/>
      <c r="L158" s="25"/>
      <c r="M158" s="25"/>
      <c r="N158" s="25"/>
    </row>
    <row r="159" spans="4:14">
      <c r="D159" s="9"/>
      <c r="E159" s="25"/>
      <c r="F159" s="25"/>
      <c r="G159" s="25"/>
      <c r="H159" s="319"/>
      <c r="I159" s="25"/>
      <c r="J159" s="25"/>
      <c r="K159" s="25"/>
      <c r="L159" s="25"/>
      <c r="M159" s="25"/>
      <c r="N159" s="25"/>
    </row>
    <row r="160" spans="4:14">
      <c r="D160" s="9"/>
      <c r="E160" s="25"/>
      <c r="F160" s="25"/>
      <c r="G160" s="25"/>
      <c r="H160" s="319"/>
      <c r="I160" s="25"/>
      <c r="J160" s="25"/>
      <c r="K160" s="25"/>
      <c r="L160" s="25"/>
      <c r="M160" s="25"/>
      <c r="N160" s="25"/>
    </row>
    <row r="161" spans="4:14">
      <c r="D161" s="9"/>
      <c r="E161" s="25"/>
      <c r="F161" s="25"/>
      <c r="G161" s="25"/>
      <c r="H161" s="319"/>
      <c r="I161" s="25"/>
      <c r="J161" s="25"/>
      <c r="K161" s="25"/>
      <c r="L161" s="25"/>
      <c r="M161" s="25"/>
      <c r="N161" s="25"/>
    </row>
    <row r="162" spans="4:14">
      <c r="D162" s="9"/>
      <c r="E162" s="25"/>
      <c r="F162" s="25"/>
      <c r="G162" s="25"/>
      <c r="H162" s="319"/>
      <c r="I162" s="25"/>
      <c r="J162" s="25"/>
      <c r="K162" s="25"/>
      <c r="L162" s="25"/>
      <c r="M162" s="25"/>
      <c r="N162" s="25"/>
    </row>
    <row r="163" spans="4:14">
      <c r="D163" s="9"/>
      <c r="E163" s="25"/>
      <c r="F163" s="25"/>
      <c r="G163" s="25"/>
      <c r="H163" s="319"/>
      <c r="I163" s="25"/>
      <c r="J163" s="25"/>
      <c r="K163" s="25"/>
      <c r="L163" s="25"/>
      <c r="M163" s="25"/>
      <c r="N163" s="25"/>
    </row>
    <row r="164" spans="4:14">
      <c r="D164" s="9"/>
      <c r="E164" s="25"/>
      <c r="F164" s="25"/>
      <c r="G164" s="25"/>
      <c r="H164" s="319"/>
      <c r="I164" s="25"/>
      <c r="J164" s="25"/>
      <c r="K164" s="25"/>
      <c r="L164" s="25"/>
      <c r="M164" s="25"/>
      <c r="N164" s="25"/>
    </row>
    <row r="165" spans="4:14">
      <c r="D165" s="9"/>
      <c r="E165" s="25"/>
      <c r="F165" s="25"/>
      <c r="G165" s="25"/>
      <c r="H165" s="319"/>
      <c r="I165" s="25"/>
      <c r="J165" s="25"/>
      <c r="K165" s="25"/>
      <c r="L165" s="25"/>
      <c r="M165" s="25"/>
      <c r="N165" s="25"/>
    </row>
    <row r="166" spans="4:14">
      <c r="D166" s="9"/>
      <c r="E166" s="25"/>
      <c r="F166" s="25"/>
      <c r="G166" s="25"/>
      <c r="H166" s="319"/>
      <c r="I166" s="25"/>
      <c r="J166" s="25"/>
      <c r="K166" s="25"/>
      <c r="L166" s="25"/>
      <c r="M166" s="25"/>
      <c r="N166" s="25"/>
    </row>
    <row r="167" spans="4:14">
      <c r="D167" s="9"/>
      <c r="E167" s="25"/>
      <c r="F167" s="25"/>
      <c r="G167" s="25"/>
      <c r="H167" s="319"/>
      <c r="I167" s="25"/>
      <c r="J167" s="25"/>
      <c r="K167" s="25"/>
      <c r="L167" s="25"/>
      <c r="M167" s="25"/>
      <c r="N167" s="25"/>
    </row>
    <row r="168" spans="4:14">
      <c r="D168" s="9"/>
      <c r="E168" s="25"/>
      <c r="F168" s="25"/>
      <c r="G168" s="25"/>
      <c r="H168" s="319"/>
      <c r="I168" s="25"/>
      <c r="J168" s="25"/>
      <c r="K168" s="25"/>
      <c r="L168" s="25"/>
      <c r="M168" s="25"/>
      <c r="N168" s="25"/>
    </row>
    <row r="169" spans="4:14">
      <c r="D169" s="9"/>
      <c r="E169" s="25"/>
      <c r="F169" s="25"/>
      <c r="G169" s="25"/>
      <c r="H169" s="319"/>
      <c r="I169" s="25"/>
      <c r="J169" s="25"/>
      <c r="K169" s="25"/>
      <c r="L169" s="25"/>
      <c r="M169" s="25"/>
      <c r="N169" s="25"/>
    </row>
    <row r="170" spans="4:14">
      <c r="D170" s="9"/>
      <c r="E170" s="25"/>
      <c r="F170" s="25"/>
      <c r="G170" s="25"/>
      <c r="H170" s="319"/>
      <c r="I170" s="25"/>
      <c r="J170" s="25"/>
      <c r="K170" s="25"/>
      <c r="L170" s="25"/>
      <c r="M170" s="25"/>
      <c r="N170" s="25"/>
    </row>
    <row r="171" spans="4:14">
      <c r="D171" s="9"/>
      <c r="E171" s="25"/>
      <c r="F171" s="25"/>
      <c r="G171" s="25"/>
      <c r="H171" s="319"/>
      <c r="I171" s="25"/>
      <c r="J171" s="25"/>
      <c r="K171" s="25"/>
      <c r="L171" s="25"/>
      <c r="M171" s="25"/>
      <c r="N171" s="25"/>
    </row>
    <row r="172" spans="4:14">
      <c r="D172" s="9"/>
      <c r="E172" s="25"/>
      <c r="F172" s="25"/>
      <c r="G172" s="25"/>
      <c r="H172" s="319"/>
      <c r="I172" s="25"/>
      <c r="J172" s="25"/>
      <c r="K172" s="25"/>
      <c r="L172" s="25"/>
      <c r="M172" s="25"/>
      <c r="N172" s="25"/>
    </row>
    <row r="173" spans="4:14">
      <c r="D173" s="9"/>
      <c r="E173" s="25"/>
      <c r="F173" s="25"/>
      <c r="G173" s="25"/>
      <c r="H173" s="319"/>
      <c r="I173" s="25"/>
      <c r="J173" s="25"/>
      <c r="K173" s="25"/>
      <c r="L173" s="25"/>
      <c r="M173" s="25"/>
      <c r="N173" s="25"/>
    </row>
    <row r="174" spans="4:14">
      <c r="D174" s="9"/>
      <c r="E174" s="25"/>
      <c r="F174" s="25"/>
      <c r="G174" s="25"/>
      <c r="H174" s="319"/>
      <c r="I174" s="25"/>
      <c r="J174" s="25"/>
      <c r="K174" s="25"/>
      <c r="L174" s="25"/>
      <c r="M174" s="25"/>
      <c r="N174" s="25"/>
    </row>
    <row r="175" spans="4:14">
      <c r="D175" s="9"/>
      <c r="E175" s="25"/>
      <c r="F175" s="25"/>
      <c r="G175" s="25"/>
      <c r="H175" s="319"/>
      <c r="I175" s="25"/>
      <c r="J175" s="25"/>
      <c r="K175" s="25"/>
      <c r="L175" s="25"/>
      <c r="M175" s="25"/>
      <c r="N175" s="25"/>
    </row>
    <row r="176" spans="4:14">
      <c r="D176" s="9"/>
      <c r="E176" s="25"/>
      <c r="F176" s="25"/>
      <c r="G176" s="25"/>
      <c r="H176" s="319"/>
      <c r="I176" s="25"/>
      <c r="J176" s="25"/>
      <c r="K176" s="25"/>
      <c r="L176" s="25"/>
      <c r="M176" s="25"/>
      <c r="N176" s="25"/>
    </row>
    <row r="177" spans="4:14">
      <c r="D177" s="9"/>
      <c r="E177" s="25"/>
      <c r="F177" s="25"/>
      <c r="G177" s="25"/>
      <c r="H177" s="319"/>
      <c r="I177" s="25"/>
      <c r="J177" s="25"/>
      <c r="K177" s="25"/>
      <c r="L177" s="25"/>
      <c r="M177" s="25"/>
      <c r="N177" s="25"/>
    </row>
    <row r="178" spans="4:14">
      <c r="D178" s="9"/>
      <c r="E178" s="25"/>
      <c r="F178" s="25"/>
      <c r="G178" s="25"/>
      <c r="H178" s="319"/>
      <c r="I178" s="25"/>
      <c r="J178" s="25"/>
      <c r="K178" s="25"/>
      <c r="L178" s="25"/>
      <c r="M178" s="25"/>
      <c r="N178" s="25"/>
    </row>
    <row r="179" spans="4:14">
      <c r="D179" s="9"/>
      <c r="E179" s="25"/>
      <c r="F179" s="25"/>
      <c r="G179" s="25"/>
      <c r="H179" s="319"/>
      <c r="I179" s="25"/>
      <c r="J179" s="25"/>
      <c r="K179" s="25"/>
      <c r="L179" s="25"/>
      <c r="M179" s="25"/>
      <c r="N179" s="25"/>
    </row>
    <row r="180" spans="4:14">
      <c r="D180" s="9"/>
      <c r="E180" s="25"/>
      <c r="F180" s="25"/>
      <c r="G180" s="25"/>
      <c r="H180" s="319"/>
      <c r="I180" s="25"/>
      <c r="J180" s="25"/>
      <c r="K180" s="25"/>
      <c r="L180" s="25"/>
      <c r="M180" s="25"/>
      <c r="N180" s="25"/>
    </row>
    <row r="181" spans="4:14">
      <c r="D181" s="9"/>
      <c r="E181" s="25"/>
      <c r="F181" s="25"/>
      <c r="G181" s="25"/>
      <c r="H181" s="319"/>
      <c r="I181" s="25"/>
      <c r="J181" s="25"/>
      <c r="K181" s="25"/>
      <c r="L181" s="25"/>
      <c r="M181" s="25"/>
      <c r="N181" s="25"/>
    </row>
    <row r="182" spans="4:14">
      <c r="D182" s="9"/>
      <c r="E182" s="25"/>
      <c r="F182" s="25"/>
      <c r="G182" s="25"/>
      <c r="H182" s="319"/>
      <c r="I182" s="25"/>
      <c r="J182" s="25"/>
      <c r="K182" s="25"/>
      <c r="L182" s="25"/>
      <c r="M182" s="25"/>
      <c r="N182" s="25"/>
    </row>
    <row r="183" spans="4:14">
      <c r="D183" s="9"/>
      <c r="E183" s="25"/>
      <c r="F183" s="25"/>
      <c r="G183" s="25"/>
      <c r="H183" s="319"/>
      <c r="I183" s="25"/>
      <c r="J183" s="25"/>
      <c r="K183" s="25"/>
      <c r="L183" s="25"/>
      <c r="M183" s="25"/>
      <c r="N183" s="25"/>
    </row>
    <row r="184" spans="4:14">
      <c r="D184" s="9"/>
      <c r="E184" s="25"/>
      <c r="F184" s="25"/>
      <c r="G184" s="25"/>
      <c r="H184" s="319"/>
      <c r="I184" s="25"/>
      <c r="J184" s="25"/>
      <c r="K184" s="25"/>
      <c r="L184" s="25"/>
      <c r="M184" s="25"/>
      <c r="N184" s="25"/>
    </row>
    <row r="185" spans="4:14">
      <c r="D185" s="9"/>
      <c r="E185" s="25"/>
      <c r="F185" s="25"/>
      <c r="G185" s="25"/>
      <c r="H185" s="319"/>
      <c r="I185" s="25"/>
      <c r="J185" s="25"/>
      <c r="K185" s="25"/>
      <c r="L185" s="25"/>
      <c r="M185" s="25"/>
      <c r="N185" s="25"/>
    </row>
    <row r="186" spans="4:14">
      <c r="D186" s="9"/>
      <c r="E186" s="25"/>
      <c r="F186" s="25"/>
      <c r="G186" s="25"/>
      <c r="H186" s="319"/>
      <c r="I186" s="25"/>
      <c r="J186" s="25"/>
      <c r="K186" s="25"/>
      <c r="L186" s="25"/>
      <c r="M186" s="25"/>
      <c r="N186" s="25"/>
    </row>
    <row r="187" spans="4:14">
      <c r="D187" s="9"/>
      <c r="E187" s="25"/>
      <c r="F187" s="25"/>
      <c r="G187" s="25"/>
      <c r="H187" s="319"/>
      <c r="I187" s="25"/>
      <c r="J187" s="25"/>
      <c r="K187" s="25"/>
      <c r="L187" s="25"/>
      <c r="M187" s="25"/>
      <c r="N187" s="25"/>
    </row>
    <row r="188" spans="4:14">
      <c r="D188" s="9"/>
      <c r="E188" s="25"/>
      <c r="F188" s="25"/>
      <c r="G188" s="25"/>
      <c r="H188" s="319"/>
      <c r="I188" s="25"/>
      <c r="J188" s="25"/>
      <c r="K188" s="25"/>
      <c r="L188" s="25"/>
      <c r="M188" s="25"/>
      <c r="N188" s="25"/>
    </row>
    <row r="189" spans="4:14">
      <c r="D189" s="9"/>
      <c r="E189" s="25"/>
      <c r="F189" s="25"/>
      <c r="G189" s="25"/>
      <c r="H189" s="319"/>
      <c r="I189" s="25"/>
      <c r="J189" s="25"/>
      <c r="K189" s="25"/>
      <c r="L189" s="25"/>
      <c r="M189" s="25"/>
      <c r="N189" s="25"/>
    </row>
    <row r="190" spans="4:14">
      <c r="D190" s="9"/>
      <c r="E190" s="25"/>
      <c r="F190" s="25"/>
      <c r="G190" s="25"/>
      <c r="H190" s="319"/>
      <c r="I190" s="25"/>
      <c r="J190" s="25"/>
      <c r="K190" s="25"/>
      <c r="L190" s="25"/>
      <c r="M190" s="25"/>
      <c r="N190" s="25"/>
    </row>
    <row r="191" spans="4:14">
      <c r="D191" s="9"/>
      <c r="E191" s="25"/>
      <c r="F191" s="25"/>
      <c r="G191" s="25"/>
      <c r="H191" s="319"/>
      <c r="I191" s="25"/>
      <c r="J191" s="25"/>
      <c r="K191" s="25"/>
      <c r="L191" s="25"/>
      <c r="M191" s="25"/>
      <c r="N191" s="25"/>
    </row>
    <row r="192" spans="4:14">
      <c r="D192" s="9"/>
      <c r="E192" s="25"/>
      <c r="F192" s="25"/>
      <c r="G192" s="25"/>
      <c r="H192" s="319"/>
      <c r="I192" s="25"/>
      <c r="J192" s="25"/>
      <c r="K192" s="25"/>
      <c r="L192" s="25"/>
      <c r="M192" s="25"/>
      <c r="N192" s="25"/>
    </row>
    <row r="193" spans="4:14">
      <c r="D193" s="9"/>
      <c r="E193" s="25"/>
      <c r="F193" s="25"/>
      <c r="G193" s="25"/>
      <c r="H193" s="319"/>
      <c r="I193" s="25"/>
      <c r="J193" s="25"/>
      <c r="K193" s="25"/>
      <c r="L193" s="25"/>
      <c r="M193" s="25"/>
      <c r="N193" s="25"/>
    </row>
    <row r="194" spans="4:14">
      <c r="D194" s="9"/>
      <c r="E194" s="25"/>
      <c r="F194" s="25"/>
      <c r="G194" s="25"/>
      <c r="H194" s="319"/>
      <c r="I194" s="25"/>
      <c r="J194" s="25"/>
      <c r="K194" s="25"/>
      <c r="L194" s="25"/>
      <c r="M194" s="25"/>
      <c r="N194" s="25"/>
    </row>
    <row r="195" spans="4:14">
      <c r="D195" s="9"/>
      <c r="E195" s="25"/>
      <c r="F195" s="25"/>
      <c r="G195" s="25"/>
      <c r="H195" s="319"/>
      <c r="I195" s="25"/>
      <c r="J195" s="25"/>
      <c r="K195" s="25"/>
      <c r="L195" s="25"/>
      <c r="M195" s="25"/>
      <c r="N195" s="25"/>
    </row>
    <row r="196" spans="4:14">
      <c r="D196" s="9"/>
      <c r="E196" s="25"/>
      <c r="F196" s="25"/>
      <c r="G196" s="25"/>
      <c r="H196" s="319"/>
      <c r="I196" s="25"/>
      <c r="J196" s="25"/>
      <c r="K196" s="25"/>
      <c r="L196" s="25"/>
      <c r="M196" s="25"/>
      <c r="N196" s="25"/>
    </row>
    <row r="197" spans="4:14">
      <c r="D197" s="9"/>
      <c r="E197" s="25"/>
      <c r="F197" s="25"/>
      <c r="G197" s="25"/>
      <c r="H197" s="319"/>
      <c r="I197" s="25"/>
      <c r="J197" s="25"/>
      <c r="K197" s="25"/>
      <c r="L197" s="25"/>
      <c r="M197" s="25"/>
      <c r="N197" s="25"/>
    </row>
    <row r="198" spans="4:14">
      <c r="D198" s="9"/>
      <c r="E198" s="25"/>
      <c r="F198" s="25"/>
      <c r="G198" s="25"/>
      <c r="H198" s="319"/>
      <c r="I198" s="25"/>
      <c r="J198" s="25"/>
      <c r="K198" s="25"/>
      <c r="L198" s="25"/>
      <c r="M198" s="25"/>
      <c r="N198" s="25"/>
    </row>
    <row r="199" spans="4:14">
      <c r="D199" s="9"/>
      <c r="E199" s="25"/>
      <c r="F199" s="25"/>
      <c r="G199" s="25"/>
      <c r="H199" s="319"/>
      <c r="I199" s="25"/>
      <c r="J199" s="25"/>
      <c r="K199" s="25"/>
      <c r="L199" s="25"/>
      <c r="M199" s="25"/>
      <c r="N199" s="25"/>
    </row>
    <row r="200" spans="4:14">
      <c r="D200" s="9"/>
      <c r="E200" s="25"/>
      <c r="F200" s="25"/>
      <c r="G200" s="25"/>
      <c r="H200" s="319"/>
      <c r="I200" s="25"/>
      <c r="J200" s="25"/>
      <c r="K200" s="25"/>
      <c r="L200" s="25"/>
      <c r="M200" s="25"/>
      <c r="N200" s="25"/>
    </row>
    <row r="201" spans="4:14">
      <c r="D201" s="9"/>
      <c r="E201" s="25"/>
      <c r="F201" s="25"/>
      <c r="G201" s="25"/>
      <c r="H201" s="319"/>
      <c r="I201" s="25"/>
      <c r="J201" s="25"/>
      <c r="K201" s="25"/>
      <c r="L201" s="25"/>
      <c r="M201" s="25"/>
      <c r="N201" s="25"/>
    </row>
    <row r="202" spans="4:14">
      <c r="D202" s="9"/>
      <c r="E202" s="25"/>
      <c r="F202" s="25"/>
      <c r="G202" s="25"/>
      <c r="H202" s="319"/>
      <c r="I202" s="25"/>
      <c r="J202" s="25"/>
      <c r="K202" s="25"/>
      <c r="L202" s="25"/>
      <c r="M202" s="25"/>
      <c r="N202" s="25"/>
    </row>
    <row r="203" spans="4:14">
      <c r="D203" s="9"/>
      <c r="E203" s="25"/>
      <c r="F203" s="25"/>
      <c r="G203" s="25"/>
      <c r="H203" s="319"/>
      <c r="I203" s="25"/>
      <c r="J203" s="25"/>
      <c r="K203" s="25"/>
      <c r="L203" s="25"/>
      <c r="M203" s="25"/>
      <c r="N203" s="25"/>
    </row>
    <row r="204" spans="4:14">
      <c r="D204" s="9"/>
      <c r="E204" s="25"/>
      <c r="F204" s="25"/>
      <c r="G204" s="25"/>
      <c r="H204" s="319"/>
      <c r="I204" s="25"/>
      <c r="J204" s="25"/>
      <c r="K204" s="25"/>
      <c r="L204" s="25"/>
      <c r="M204" s="25"/>
      <c r="N204" s="25"/>
    </row>
    <row r="205" spans="4:14">
      <c r="D205" s="9"/>
      <c r="E205" s="25"/>
      <c r="F205" s="25"/>
      <c r="G205" s="25"/>
      <c r="H205" s="319"/>
      <c r="I205" s="25"/>
      <c r="J205" s="25"/>
      <c r="K205" s="25"/>
      <c r="L205" s="25"/>
      <c r="M205" s="25"/>
      <c r="N205" s="25"/>
    </row>
    <row r="206" spans="4:14">
      <c r="D206" s="9"/>
      <c r="E206" s="25"/>
      <c r="F206" s="25"/>
      <c r="G206" s="25"/>
      <c r="H206" s="319"/>
      <c r="I206" s="25"/>
      <c r="J206" s="25"/>
      <c r="K206" s="25"/>
      <c r="L206" s="25"/>
      <c r="M206" s="25"/>
      <c r="N206" s="25"/>
    </row>
    <row r="207" spans="4:14">
      <c r="D207" s="9"/>
      <c r="E207" s="25"/>
      <c r="F207" s="25"/>
      <c r="G207" s="25"/>
      <c r="H207" s="319"/>
      <c r="I207" s="25"/>
      <c r="J207" s="25"/>
      <c r="K207" s="25"/>
      <c r="L207" s="25"/>
      <c r="M207" s="25"/>
      <c r="N207" s="25"/>
    </row>
    <row r="208" spans="4:14">
      <c r="D208" s="9"/>
      <c r="E208" s="25"/>
      <c r="F208" s="25"/>
      <c r="G208" s="25"/>
      <c r="H208" s="319"/>
      <c r="I208" s="25"/>
      <c r="J208" s="25"/>
      <c r="K208" s="25"/>
      <c r="L208" s="25"/>
      <c r="M208" s="25"/>
      <c r="N208" s="25"/>
    </row>
    <row r="209" spans="4:14">
      <c r="D209" s="9"/>
      <c r="E209" s="25"/>
      <c r="F209" s="25"/>
      <c r="G209" s="25"/>
      <c r="H209" s="319"/>
      <c r="I209" s="25"/>
      <c r="J209" s="25"/>
      <c r="K209" s="25"/>
      <c r="L209" s="25"/>
      <c r="M209" s="25"/>
      <c r="N209" s="25"/>
    </row>
    <row r="210" spans="4:14">
      <c r="D210" s="9"/>
      <c r="E210" s="25"/>
      <c r="F210" s="25"/>
      <c r="G210" s="25"/>
      <c r="H210" s="319"/>
      <c r="I210" s="25"/>
      <c r="J210" s="25"/>
      <c r="K210" s="25"/>
      <c r="L210" s="25"/>
      <c r="M210" s="25"/>
      <c r="N210" s="25"/>
    </row>
    <row r="211" spans="4:14">
      <c r="D211" s="9"/>
      <c r="E211" s="25"/>
      <c r="F211" s="25"/>
      <c r="G211" s="25"/>
      <c r="H211" s="319"/>
      <c r="I211" s="25"/>
      <c r="J211" s="25"/>
      <c r="K211" s="25"/>
      <c r="L211" s="25"/>
      <c r="M211" s="25"/>
      <c r="N211" s="25"/>
    </row>
    <row r="212" spans="4:14">
      <c r="D212" s="9"/>
      <c r="E212" s="25"/>
      <c r="F212" s="25"/>
      <c r="G212" s="25"/>
      <c r="H212" s="319"/>
      <c r="I212" s="25"/>
      <c r="J212" s="25"/>
      <c r="K212" s="25"/>
      <c r="L212" s="25"/>
      <c r="M212" s="25"/>
      <c r="N212" s="25"/>
    </row>
    <row r="213" spans="4:14">
      <c r="D213" s="9"/>
      <c r="E213" s="25"/>
      <c r="F213" s="25"/>
      <c r="G213" s="25"/>
      <c r="H213" s="319"/>
      <c r="I213" s="25"/>
      <c r="J213" s="25"/>
      <c r="K213" s="25"/>
      <c r="L213" s="25"/>
      <c r="M213" s="25"/>
      <c r="N213" s="25"/>
    </row>
    <row r="214" spans="4:14">
      <c r="D214" s="9"/>
      <c r="E214" s="25"/>
      <c r="F214" s="25"/>
      <c r="G214" s="25"/>
      <c r="H214" s="319"/>
      <c r="I214" s="25"/>
      <c r="J214" s="25"/>
      <c r="K214" s="25"/>
      <c r="L214" s="25"/>
      <c r="M214" s="25"/>
      <c r="N214" s="25"/>
    </row>
    <row r="215" spans="4:14">
      <c r="D215" s="9"/>
      <c r="E215" s="25"/>
      <c r="F215" s="25"/>
      <c r="G215" s="25"/>
      <c r="H215" s="319"/>
      <c r="I215" s="25"/>
      <c r="J215" s="25"/>
      <c r="K215" s="25"/>
      <c r="L215" s="25"/>
      <c r="M215" s="25"/>
      <c r="N215" s="25"/>
    </row>
    <row r="216" spans="4:14">
      <c r="D216" s="9"/>
      <c r="E216" s="25"/>
      <c r="F216" s="25"/>
      <c r="G216" s="25"/>
      <c r="H216" s="319"/>
      <c r="I216" s="25"/>
      <c r="J216" s="25"/>
      <c r="K216" s="25"/>
      <c r="L216" s="25"/>
      <c r="M216" s="25"/>
      <c r="N216" s="25"/>
    </row>
    <row r="217" spans="4:14">
      <c r="D217" s="9"/>
      <c r="E217" s="25"/>
      <c r="F217" s="25"/>
      <c r="G217" s="25"/>
      <c r="H217" s="319"/>
      <c r="I217" s="25"/>
      <c r="J217" s="25"/>
      <c r="K217" s="25"/>
      <c r="L217" s="25"/>
      <c r="M217" s="25"/>
      <c r="N217" s="25"/>
    </row>
    <row r="218" spans="4:14">
      <c r="D218" s="9"/>
      <c r="E218" s="25"/>
      <c r="F218" s="25"/>
      <c r="G218" s="25"/>
      <c r="H218" s="319"/>
      <c r="I218" s="25"/>
      <c r="J218" s="25"/>
      <c r="K218" s="25"/>
      <c r="L218" s="25"/>
      <c r="M218" s="25"/>
      <c r="N218" s="25"/>
    </row>
    <row r="219" spans="4:14">
      <c r="D219" s="9"/>
      <c r="E219" s="25"/>
      <c r="F219" s="25"/>
      <c r="G219" s="25"/>
      <c r="H219" s="319"/>
      <c r="I219" s="25"/>
      <c r="J219" s="25"/>
      <c r="K219" s="25"/>
      <c r="L219" s="25"/>
      <c r="M219" s="25"/>
      <c r="N219" s="25"/>
    </row>
    <row r="220" spans="4:14">
      <c r="D220" s="9"/>
      <c r="E220" s="25"/>
      <c r="F220" s="25"/>
      <c r="G220" s="25"/>
      <c r="H220" s="319"/>
      <c r="I220" s="25"/>
      <c r="J220" s="25"/>
      <c r="K220" s="25"/>
      <c r="L220" s="25"/>
      <c r="M220" s="25"/>
      <c r="N220" s="25"/>
    </row>
    <row r="221" spans="4:14">
      <c r="D221" s="9"/>
      <c r="E221" s="25"/>
      <c r="F221" s="25"/>
      <c r="G221" s="25"/>
      <c r="H221" s="319"/>
      <c r="I221" s="25"/>
      <c r="J221" s="25"/>
      <c r="K221" s="25"/>
      <c r="L221" s="25"/>
      <c r="M221" s="25"/>
      <c r="N221" s="25"/>
    </row>
    <row r="222" spans="4:14">
      <c r="D222" s="9"/>
      <c r="E222" s="25"/>
      <c r="F222" s="25"/>
      <c r="G222" s="25"/>
      <c r="H222" s="319"/>
      <c r="I222" s="25"/>
      <c r="J222" s="25"/>
      <c r="K222" s="25"/>
      <c r="L222" s="25"/>
      <c r="M222" s="25"/>
      <c r="N222" s="25"/>
    </row>
    <row r="223" spans="4:14">
      <c r="D223" s="9"/>
      <c r="E223" s="25"/>
      <c r="F223" s="25"/>
      <c r="G223" s="25"/>
      <c r="H223" s="319"/>
      <c r="I223" s="25"/>
      <c r="J223" s="25"/>
      <c r="K223" s="25"/>
      <c r="L223" s="25"/>
      <c r="M223" s="25"/>
      <c r="N223" s="25"/>
    </row>
    <row r="224" spans="4:14">
      <c r="D224" s="9"/>
      <c r="E224" s="25"/>
      <c r="F224" s="25"/>
      <c r="G224" s="25"/>
      <c r="H224" s="319"/>
      <c r="I224" s="25"/>
      <c r="J224" s="25"/>
      <c r="K224" s="25"/>
      <c r="L224" s="25"/>
      <c r="M224" s="25"/>
      <c r="N224" s="25"/>
    </row>
    <row r="225" spans="4:14">
      <c r="D225" s="9"/>
      <c r="E225" s="25"/>
      <c r="F225" s="25"/>
      <c r="G225" s="25"/>
      <c r="H225" s="319"/>
      <c r="I225" s="25"/>
      <c r="J225" s="25"/>
      <c r="K225" s="25"/>
      <c r="L225" s="25"/>
      <c r="M225" s="25"/>
      <c r="N225" s="25"/>
    </row>
    <row r="226" spans="4:14">
      <c r="D226" s="9"/>
      <c r="E226" s="25"/>
      <c r="F226" s="25"/>
      <c r="G226" s="25"/>
      <c r="H226" s="319"/>
      <c r="I226" s="25"/>
      <c r="J226" s="25"/>
      <c r="K226" s="25"/>
      <c r="L226" s="25"/>
      <c r="M226" s="25"/>
      <c r="N226" s="25"/>
    </row>
    <row r="227" spans="4:14">
      <c r="D227" s="9"/>
      <c r="E227" s="25"/>
      <c r="F227" s="25"/>
      <c r="G227" s="25"/>
      <c r="H227" s="319"/>
      <c r="I227" s="25"/>
      <c r="J227" s="25"/>
      <c r="K227" s="25"/>
      <c r="L227" s="25"/>
      <c r="M227" s="25"/>
      <c r="N227" s="25"/>
    </row>
    <row r="228" spans="4:14">
      <c r="D228" s="9"/>
      <c r="E228" s="25"/>
      <c r="F228" s="25"/>
      <c r="G228" s="25"/>
      <c r="H228" s="319"/>
      <c r="I228" s="25"/>
      <c r="J228" s="25"/>
      <c r="K228" s="25"/>
      <c r="L228" s="25"/>
      <c r="M228" s="25"/>
      <c r="N228" s="25"/>
    </row>
    <row r="229" spans="4:14">
      <c r="D229" s="9"/>
      <c r="E229" s="25"/>
      <c r="F229" s="25"/>
      <c r="G229" s="25"/>
      <c r="H229" s="319"/>
      <c r="I229" s="25"/>
      <c r="J229" s="25"/>
      <c r="K229" s="25"/>
      <c r="L229" s="25"/>
      <c r="M229" s="25"/>
      <c r="N229" s="25"/>
    </row>
    <row r="230" spans="4:14">
      <c r="D230" s="9"/>
      <c r="E230" s="25"/>
      <c r="F230" s="25"/>
      <c r="G230" s="25"/>
      <c r="H230" s="319"/>
      <c r="I230" s="25"/>
      <c r="J230" s="25"/>
      <c r="K230" s="25"/>
      <c r="L230" s="25"/>
      <c r="M230" s="25"/>
      <c r="N230" s="25"/>
    </row>
    <row r="231" spans="4:14">
      <c r="D231" s="9"/>
      <c r="E231" s="25"/>
      <c r="F231" s="25"/>
      <c r="G231" s="25"/>
      <c r="H231" s="319"/>
      <c r="I231" s="25"/>
      <c r="J231" s="25"/>
      <c r="K231" s="25"/>
      <c r="L231" s="25"/>
      <c r="M231" s="25"/>
      <c r="N231" s="25"/>
    </row>
    <row r="232" spans="4:14">
      <c r="D232" s="9"/>
      <c r="E232" s="25"/>
      <c r="F232" s="25"/>
      <c r="G232" s="25"/>
      <c r="H232" s="319"/>
      <c r="I232" s="25"/>
      <c r="J232" s="25"/>
      <c r="K232" s="25"/>
      <c r="L232" s="25"/>
      <c r="M232" s="25"/>
      <c r="N232" s="25"/>
    </row>
    <row r="233" spans="4:14">
      <c r="D233" s="9"/>
      <c r="E233" s="25"/>
      <c r="F233" s="25"/>
      <c r="G233" s="25"/>
      <c r="H233" s="319"/>
      <c r="I233" s="25"/>
      <c r="J233" s="25"/>
      <c r="K233" s="25"/>
      <c r="L233" s="25"/>
      <c r="M233" s="25"/>
      <c r="N233" s="25"/>
    </row>
    <row r="234" spans="4:14">
      <c r="D234" s="9"/>
      <c r="E234" s="25"/>
      <c r="F234" s="25"/>
      <c r="G234" s="25"/>
      <c r="H234" s="319"/>
      <c r="I234" s="25"/>
      <c r="J234" s="25"/>
      <c r="K234" s="25"/>
      <c r="L234" s="25"/>
      <c r="M234" s="25"/>
      <c r="N234" s="25"/>
    </row>
    <row r="235" spans="4:14">
      <c r="D235" s="9"/>
      <c r="E235" s="25"/>
      <c r="F235" s="25"/>
      <c r="G235" s="25"/>
      <c r="H235" s="319"/>
      <c r="I235" s="25"/>
      <c r="J235" s="25"/>
      <c r="K235" s="25"/>
      <c r="L235" s="25"/>
      <c r="M235" s="25"/>
      <c r="N235" s="25"/>
    </row>
    <row r="236" spans="4:14">
      <c r="D236" s="9"/>
      <c r="E236" s="25"/>
      <c r="F236" s="25"/>
      <c r="G236" s="25"/>
      <c r="H236" s="319"/>
      <c r="I236" s="25"/>
      <c r="J236" s="25"/>
      <c r="K236" s="25"/>
      <c r="L236" s="25"/>
      <c r="M236" s="25"/>
      <c r="N236" s="25"/>
    </row>
    <row r="237" spans="4:14">
      <c r="D237" s="9"/>
      <c r="E237" s="25"/>
      <c r="F237" s="25"/>
      <c r="G237" s="25"/>
      <c r="H237" s="319"/>
      <c r="I237" s="25"/>
      <c r="J237" s="25"/>
      <c r="K237" s="25"/>
      <c r="L237" s="25"/>
      <c r="M237" s="25"/>
      <c r="N237" s="25"/>
    </row>
    <row r="238" spans="4:14">
      <c r="D238" s="9"/>
      <c r="E238" s="25"/>
      <c r="F238" s="25"/>
      <c r="G238" s="25"/>
      <c r="H238" s="319"/>
      <c r="I238" s="25"/>
      <c r="J238" s="25"/>
      <c r="K238" s="25"/>
      <c r="L238" s="25"/>
      <c r="M238" s="25"/>
      <c r="N238" s="25"/>
    </row>
    <row r="239" spans="4:14">
      <c r="D239" s="9"/>
      <c r="E239" s="25"/>
      <c r="F239" s="25"/>
      <c r="G239" s="25"/>
      <c r="H239" s="319"/>
      <c r="I239" s="25"/>
      <c r="J239" s="25"/>
      <c r="K239" s="25"/>
      <c r="L239" s="25"/>
      <c r="M239" s="25"/>
      <c r="N239" s="25"/>
    </row>
    <row r="240" spans="4:14">
      <c r="D240" s="9"/>
      <c r="E240" s="25"/>
      <c r="F240" s="25"/>
      <c r="G240" s="25"/>
      <c r="H240" s="319"/>
      <c r="I240" s="25"/>
      <c r="J240" s="25"/>
      <c r="K240" s="25"/>
      <c r="L240" s="25"/>
      <c r="M240" s="25"/>
      <c r="N240" s="25"/>
    </row>
    <row r="241" spans="4:14">
      <c r="D241" s="9"/>
      <c r="E241" s="25"/>
      <c r="F241" s="25"/>
      <c r="G241" s="25"/>
      <c r="H241" s="319"/>
      <c r="I241" s="25"/>
      <c r="J241" s="25"/>
      <c r="K241" s="25"/>
      <c r="L241" s="25"/>
      <c r="M241" s="25"/>
      <c r="N241" s="25"/>
    </row>
    <row r="242" spans="4:14">
      <c r="D242" s="9"/>
      <c r="E242" s="25"/>
      <c r="F242" s="25"/>
      <c r="G242" s="25"/>
      <c r="H242" s="319"/>
      <c r="I242" s="25"/>
      <c r="J242" s="25"/>
      <c r="K242" s="25"/>
      <c r="L242" s="25"/>
      <c r="M242" s="25"/>
      <c r="N242" s="25"/>
    </row>
    <row r="243" spans="4:14">
      <c r="D243" s="9"/>
      <c r="E243" s="25"/>
      <c r="F243" s="25"/>
      <c r="G243" s="25"/>
      <c r="H243" s="319"/>
      <c r="I243" s="25"/>
      <c r="J243" s="25"/>
      <c r="K243" s="25"/>
      <c r="L243" s="25"/>
      <c r="M243" s="25"/>
      <c r="N243" s="25"/>
    </row>
    <row r="244" spans="4:14">
      <c r="D244" s="9"/>
      <c r="E244" s="25"/>
      <c r="F244" s="25"/>
      <c r="G244" s="25"/>
      <c r="H244" s="319"/>
      <c r="I244" s="25"/>
      <c r="J244" s="25"/>
      <c r="K244" s="25"/>
      <c r="L244" s="25"/>
      <c r="M244" s="25"/>
      <c r="N244" s="25"/>
    </row>
    <row r="245" spans="4:14">
      <c r="D245" s="9"/>
      <c r="E245" s="25"/>
      <c r="F245" s="25"/>
      <c r="G245" s="25"/>
      <c r="H245" s="319"/>
      <c r="I245" s="25"/>
      <c r="J245" s="25"/>
      <c r="K245" s="25"/>
      <c r="L245" s="25"/>
      <c r="M245" s="25"/>
      <c r="N245" s="25"/>
    </row>
    <row r="246" spans="4:14">
      <c r="D246" s="9"/>
      <c r="E246" s="25"/>
      <c r="F246" s="25"/>
      <c r="G246" s="25"/>
      <c r="H246" s="319"/>
      <c r="I246" s="25"/>
      <c r="J246" s="25"/>
      <c r="K246" s="25"/>
      <c r="L246" s="25"/>
      <c r="M246" s="25"/>
      <c r="N246" s="25"/>
    </row>
    <row r="247" spans="4:14">
      <c r="D247" s="9"/>
      <c r="E247" s="25"/>
      <c r="F247" s="25"/>
      <c r="G247" s="25"/>
      <c r="H247" s="319"/>
      <c r="I247" s="25"/>
      <c r="J247" s="25"/>
      <c r="K247" s="25"/>
      <c r="L247" s="25"/>
      <c r="M247" s="25"/>
      <c r="N247" s="25"/>
    </row>
    <row r="248" spans="4:14">
      <c r="D248" s="9"/>
      <c r="E248" s="25"/>
      <c r="F248" s="25"/>
      <c r="G248" s="25"/>
      <c r="H248" s="319"/>
      <c r="I248" s="25"/>
      <c r="J248" s="25"/>
      <c r="K248" s="25"/>
      <c r="L248" s="25"/>
      <c r="M248" s="25"/>
      <c r="N248" s="25"/>
    </row>
    <row r="249" spans="4:14">
      <c r="D249" s="9"/>
      <c r="E249" s="25"/>
      <c r="F249" s="25"/>
      <c r="G249" s="25"/>
      <c r="H249" s="319"/>
      <c r="I249" s="25"/>
      <c r="J249" s="25"/>
      <c r="K249" s="25"/>
      <c r="L249" s="25"/>
      <c r="M249" s="25"/>
      <c r="N249" s="25"/>
    </row>
    <row r="250" spans="4:14">
      <c r="D250" s="9"/>
      <c r="E250" s="25"/>
      <c r="F250" s="25"/>
      <c r="G250" s="25"/>
      <c r="H250" s="319"/>
      <c r="I250" s="25"/>
      <c r="J250" s="25"/>
      <c r="K250" s="25"/>
      <c r="L250" s="25"/>
      <c r="M250" s="25"/>
      <c r="N250" s="25"/>
    </row>
    <row r="251" spans="4:14">
      <c r="D251" s="9"/>
      <c r="E251" s="25"/>
      <c r="F251" s="25"/>
      <c r="G251" s="25"/>
      <c r="H251" s="319"/>
      <c r="I251" s="25"/>
      <c r="J251" s="25"/>
      <c r="K251" s="25"/>
      <c r="L251" s="25"/>
      <c r="M251" s="25"/>
      <c r="N251" s="25"/>
    </row>
    <row r="252" spans="4:14">
      <c r="D252" s="9"/>
      <c r="E252" s="25"/>
      <c r="F252" s="25"/>
      <c r="G252" s="25"/>
      <c r="H252" s="319"/>
      <c r="I252" s="25"/>
      <c r="J252" s="25"/>
      <c r="K252" s="25"/>
      <c r="L252" s="25"/>
      <c r="M252" s="25"/>
      <c r="N252" s="25"/>
    </row>
    <row r="253" spans="4:14">
      <c r="D253" s="9"/>
      <c r="E253" s="25"/>
      <c r="F253" s="25"/>
      <c r="G253" s="25"/>
      <c r="H253" s="319"/>
      <c r="I253" s="25"/>
      <c r="J253" s="25"/>
      <c r="K253" s="25"/>
      <c r="L253" s="25"/>
      <c r="M253" s="25"/>
      <c r="N253" s="25"/>
    </row>
    <row r="254" spans="4:14">
      <c r="D254" s="9"/>
      <c r="E254" s="25"/>
      <c r="F254" s="25"/>
      <c r="G254" s="25"/>
      <c r="H254" s="319"/>
      <c r="I254" s="25"/>
      <c r="J254" s="25"/>
      <c r="K254" s="25"/>
      <c r="L254" s="25"/>
      <c r="M254" s="25"/>
      <c r="N254" s="25"/>
    </row>
    <row r="255" spans="4:14">
      <c r="D255" s="9"/>
      <c r="E255" s="25"/>
      <c r="F255" s="25"/>
      <c r="G255" s="25"/>
      <c r="H255" s="319"/>
      <c r="I255" s="25"/>
      <c r="J255" s="25"/>
      <c r="K255" s="25"/>
      <c r="L255" s="25"/>
      <c r="M255" s="25"/>
      <c r="N255" s="25"/>
    </row>
    <row r="256" spans="4:14">
      <c r="D256" s="9"/>
      <c r="E256" s="25"/>
      <c r="F256" s="25"/>
      <c r="G256" s="25"/>
      <c r="H256" s="319"/>
      <c r="I256" s="25"/>
      <c r="J256" s="25"/>
      <c r="K256" s="25"/>
      <c r="L256" s="25"/>
      <c r="M256" s="25"/>
      <c r="N256" s="25"/>
    </row>
    <row r="257" spans="4:14">
      <c r="D257" s="9"/>
      <c r="E257" s="25"/>
      <c r="F257" s="25"/>
      <c r="G257" s="25"/>
      <c r="H257" s="319"/>
      <c r="I257" s="25"/>
      <c r="J257" s="25"/>
      <c r="K257" s="25"/>
      <c r="L257" s="25"/>
      <c r="M257" s="25"/>
      <c r="N257" s="25"/>
    </row>
    <row r="258" spans="4:14">
      <c r="D258" s="9"/>
      <c r="E258" s="25"/>
      <c r="F258" s="25"/>
      <c r="G258" s="25"/>
      <c r="H258" s="319"/>
      <c r="I258" s="25"/>
      <c r="J258" s="25"/>
      <c r="K258" s="25"/>
      <c r="L258" s="25"/>
      <c r="M258" s="25"/>
      <c r="N258" s="25"/>
    </row>
    <row r="259" spans="4:14">
      <c r="D259" s="9"/>
      <c r="E259" s="25"/>
      <c r="F259" s="25"/>
      <c r="G259" s="25"/>
      <c r="H259" s="319"/>
      <c r="I259" s="25"/>
      <c r="J259" s="25"/>
      <c r="K259" s="25"/>
      <c r="L259" s="25"/>
      <c r="M259" s="25"/>
      <c r="N259" s="25"/>
    </row>
    <row r="260" spans="4:14">
      <c r="D260" s="9"/>
      <c r="E260" s="25"/>
      <c r="F260" s="25"/>
      <c r="G260" s="25"/>
      <c r="H260" s="319"/>
      <c r="I260" s="25"/>
      <c r="J260" s="25"/>
      <c r="K260" s="25"/>
      <c r="L260" s="25"/>
      <c r="M260" s="25"/>
      <c r="N260" s="25"/>
    </row>
    <row r="261" spans="4:14">
      <c r="D261" s="9"/>
      <c r="E261" s="25"/>
      <c r="F261" s="25"/>
      <c r="G261" s="25"/>
      <c r="H261" s="319"/>
      <c r="I261" s="25"/>
      <c r="J261" s="25"/>
      <c r="K261" s="25"/>
      <c r="L261" s="25"/>
      <c r="M261" s="25"/>
      <c r="N261" s="25"/>
    </row>
    <row r="262" spans="4:14">
      <c r="D262" s="9"/>
      <c r="E262" s="25"/>
      <c r="F262" s="25"/>
      <c r="G262" s="25"/>
      <c r="H262" s="319"/>
      <c r="I262" s="25"/>
      <c r="J262" s="25"/>
      <c r="K262" s="25"/>
      <c r="L262" s="25"/>
      <c r="M262" s="25"/>
      <c r="N262" s="25"/>
    </row>
    <row r="263" spans="4:14">
      <c r="D263" s="9"/>
      <c r="E263" s="25"/>
      <c r="F263" s="25"/>
      <c r="G263" s="25"/>
      <c r="H263" s="319"/>
      <c r="I263" s="25"/>
      <c r="J263" s="25"/>
      <c r="K263" s="25"/>
      <c r="L263" s="25"/>
      <c r="M263" s="25"/>
      <c r="N263" s="25"/>
    </row>
    <row r="264" spans="4:14">
      <c r="D264" s="9"/>
      <c r="E264" s="25"/>
      <c r="F264" s="25"/>
      <c r="G264" s="25"/>
      <c r="H264" s="319"/>
      <c r="I264" s="25"/>
      <c r="J264" s="25"/>
      <c r="K264" s="25"/>
      <c r="L264" s="25"/>
      <c r="M264" s="25"/>
      <c r="N264" s="25"/>
    </row>
    <row r="265" spans="4:14">
      <c r="D265" s="9"/>
      <c r="E265" s="25"/>
      <c r="F265" s="25"/>
      <c r="G265" s="25"/>
      <c r="H265" s="319"/>
      <c r="I265" s="25"/>
      <c r="J265" s="25"/>
      <c r="K265" s="25"/>
      <c r="L265" s="25"/>
      <c r="M265" s="25"/>
      <c r="N265" s="25"/>
    </row>
    <row r="266" spans="4:14">
      <c r="D266" s="9"/>
      <c r="E266" s="25"/>
      <c r="F266" s="25"/>
      <c r="G266" s="25"/>
      <c r="H266" s="319"/>
      <c r="I266" s="25"/>
      <c r="J266" s="25"/>
      <c r="K266" s="25"/>
      <c r="L266" s="25"/>
      <c r="M266" s="25"/>
      <c r="N266" s="25"/>
    </row>
    <row r="267" spans="4:14">
      <c r="D267" s="9"/>
      <c r="E267" s="25"/>
      <c r="F267" s="25"/>
      <c r="G267" s="25"/>
      <c r="H267" s="319"/>
      <c r="I267" s="25"/>
      <c r="J267" s="25"/>
      <c r="K267" s="25"/>
      <c r="L267" s="25"/>
      <c r="M267" s="25"/>
      <c r="N267" s="25"/>
    </row>
    <row r="268" spans="4:14">
      <c r="D268" s="9"/>
      <c r="E268" s="25"/>
      <c r="F268" s="25"/>
      <c r="G268" s="25"/>
      <c r="H268" s="319"/>
      <c r="I268" s="25"/>
      <c r="J268" s="25"/>
      <c r="K268" s="25"/>
      <c r="L268" s="25"/>
      <c r="M268" s="25"/>
      <c r="N268" s="25"/>
    </row>
    <row r="269" spans="4:14">
      <c r="D269" s="9"/>
      <c r="E269" s="25"/>
      <c r="F269" s="25"/>
      <c r="G269" s="25"/>
      <c r="H269" s="319"/>
      <c r="I269" s="25"/>
      <c r="J269" s="25"/>
      <c r="K269" s="25"/>
      <c r="L269" s="25"/>
      <c r="M269" s="25"/>
      <c r="N269" s="25"/>
    </row>
    <row r="270" spans="4:14">
      <c r="D270" s="9"/>
      <c r="E270" s="25"/>
      <c r="F270" s="25"/>
      <c r="G270" s="25"/>
      <c r="H270" s="319"/>
      <c r="I270" s="25"/>
      <c r="J270" s="25"/>
      <c r="K270" s="25"/>
      <c r="L270" s="25"/>
      <c r="M270" s="25"/>
      <c r="N270" s="25"/>
    </row>
    <row r="271" spans="4:14">
      <c r="D271" s="9"/>
      <c r="E271" s="25"/>
      <c r="F271" s="25"/>
      <c r="G271" s="25"/>
      <c r="H271" s="319"/>
      <c r="I271" s="25"/>
      <c r="J271" s="25"/>
      <c r="K271" s="25"/>
      <c r="L271" s="25"/>
      <c r="M271" s="25"/>
      <c r="N271" s="25"/>
    </row>
    <row r="272" spans="4:14">
      <c r="D272" s="9"/>
      <c r="E272" s="25"/>
      <c r="F272" s="25"/>
      <c r="G272" s="25"/>
      <c r="H272" s="319"/>
      <c r="I272" s="25"/>
      <c r="J272" s="25"/>
      <c r="K272" s="25"/>
      <c r="L272" s="25"/>
      <c r="M272" s="25"/>
      <c r="N272" s="25"/>
    </row>
    <row r="273" spans="4:14">
      <c r="D273" s="9"/>
      <c r="E273" s="25"/>
      <c r="F273" s="25"/>
      <c r="G273" s="25"/>
      <c r="H273" s="319"/>
      <c r="I273" s="25"/>
      <c r="J273" s="25"/>
      <c r="K273" s="25"/>
      <c r="L273" s="25"/>
      <c r="M273" s="25"/>
      <c r="N273" s="25"/>
    </row>
    <row r="274" spans="4:14">
      <c r="D274" s="9"/>
      <c r="E274" s="25"/>
      <c r="F274" s="25"/>
      <c r="G274" s="25"/>
      <c r="H274" s="319"/>
      <c r="I274" s="25"/>
      <c r="J274" s="25"/>
      <c r="K274" s="25"/>
      <c r="L274" s="25"/>
      <c r="M274" s="25"/>
      <c r="N274" s="25"/>
    </row>
    <row r="275" spans="4:14">
      <c r="D275" s="9"/>
      <c r="E275" s="25"/>
      <c r="F275" s="25"/>
      <c r="G275" s="25"/>
      <c r="H275" s="319"/>
      <c r="I275" s="25"/>
      <c r="J275" s="25"/>
      <c r="K275" s="25"/>
      <c r="L275" s="25"/>
      <c r="M275" s="25"/>
      <c r="N275" s="25"/>
    </row>
    <row r="276" spans="4:14">
      <c r="D276" s="9"/>
      <c r="E276" s="25"/>
      <c r="F276" s="25"/>
      <c r="G276" s="25"/>
      <c r="H276" s="319"/>
      <c r="I276" s="25"/>
      <c r="J276" s="25"/>
      <c r="K276" s="25"/>
      <c r="L276" s="25"/>
      <c r="M276" s="25"/>
      <c r="N276" s="25"/>
    </row>
    <row r="277" spans="4:14">
      <c r="D277" s="9"/>
      <c r="E277" s="25"/>
      <c r="F277" s="25"/>
      <c r="G277" s="25"/>
      <c r="H277" s="319"/>
      <c r="I277" s="25"/>
      <c r="J277" s="25"/>
      <c r="K277" s="25"/>
      <c r="L277" s="25"/>
      <c r="M277" s="25"/>
      <c r="N277" s="25"/>
    </row>
    <row r="278" spans="4:14">
      <c r="D278" s="9"/>
      <c r="E278" s="25"/>
      <c r="F278" s="25"/>
      <c r="G278" s="25"/>
      <c r="H278" s="319"/>
      <c r="I278" s="25"/>
      <c r="J278" s="25"/>
      <c r="K278" s="25"/>
      <c r="L278" s="25"/>
      <c r="M278" s="25"/>
      <c r="N278" s="25"/>
    </row>
    <row r="279" spans="4:14">
      <c r="D279" s="9"/>
      <c r="E279" s="25"/>
      <c r="F279" s="25"/>
      <c r="G279" s="25"/>
      <c r="H279" s="319"/>
      <c r="I279" s="25"/>
      <c r="J279" s="25"/>
      <c r="K279" s="25"/>
      <c r="L279" s="25"/>
      <c r="M279" s="25"/>
      <c r="N279" s="25"/>
    </row>
    <row r="280" spans="4:14">
      <c r="D280" s="9"/>
      <c r="E280" s="25"/>
      <c r="F280" s="25"/>
      <c r="G280" s="25"/>
      <c r="H280" s="319"/>
      <c r="I280" s="25"/>
      <c r="J280" s="25"/>
      <c r="K280" s="25"/>
      <c r="L280" s="25"/>
      <c r="M280" s="25"/>
      <c r="N280" s="25"/>
    </row>
    <row r="281" spans="4:14">
      <c r="D281" s="9"/>
      <c r="E281" s="25"/>
      <c r="F281" s="25"/>
      <c r="G281" s="25"/>
      <c r="H281" s="319"/>
      <c r="I281" s="25"/>
      <c r="J281" s="25"/>
      <c r="K281" s="25"/>
      <c r="L281" s="25"/>
      <c r="M281" s="25"/>
      <c r="N281" s="25"/>
    </row>
    <row r="282" spans="4:14">
      <c r="D282" s="9"/>
      <c r="E282" s="25"/>
      <c r="F282" s="25"/>
      <c r="G282" s="25"/>
      <c r="H282" s="319"/>
      <c r="I282" s="25"/>
      <c r="J282" s="25"/>
      <c r="K282" s="25"/>
      <c r="L282" s="25"/>
      <c r="M282" s="25"/>
      <c r="N282" s="25"/>
    </row>
    <row r="283" spans="4:14">
      <c r="D283" s="9"/>
      <c r="E283" s="25"/>
      <c r="F283" s="25"/>
      <c r="G283" s="25"/>
      <c r="H283" s="319"/>
      <c r="I283" s="25"/>
      <c r="J283" s="25"/>
      <c r="K283" s="25"/>
      <c r="L283" s="25"/>
      <c r="M283" s="25"/>
      <c r="N283" s="25"/>
    </row>
    <row r="284" spans="4:14">
      <c r="D284" s="9"/>
      <c r="E284" s="25"/>
      <c r="F284" s="25"/>
      <c r="G284" s="25"/>
      <c r="H284" s="319"/>
      <c r="I284" s="25"/>
      <c r="J284" s="25"/>
      <c r="K284" s="25"/>
      <c r="L284" s="25"/>
      <c r="M284" s="25"/>
      <c r="N284" s="25"/>
    </row>
    <row r="285" spans="4:14">
      <c r="D285" s="9"/>
      <c r="E285" s="25"/>
      <c r="F285" s="25"/>
      <c r="G285" s="25"/>
      <c r="H285" s="319"/>
      <c r="I285" s="25"/>
      <c r="J285" s="25"/>
      <c r="K285" s="25"/>
      <c r="L285" s="25"/>
      <c r="M285" s="25"/>
      <c r="N285" s="25"/>
    </row>
    <row r="286" spans="4:14">
      <c r="D286" s="9"/>
      <c r="E286" s="25"/>
      <c r="F286" s="25"/>
      <c r="G286" s="25"/>
      <c r="H286" s="319"/>
      <c r="I286" s="25"/>
      <c r="J286" s="25"/>
      <c r="K286" s="25"/>
      <c r="L286" s="25"/>
      <c r="M286" s="25"/>
      <c r="N286" s="25"/>
    </row>
    <row r="287" spans="4:14">
      <c r="D287" s="9"/>
      <c r="E287" s="25"/>
      <c r="F287" s="25"/>
      <c r="G287" s="25"/>
      <c r="H287" s="319"/>
      <c r="I287" s="25"/>
      <c r="J287" s="25"/>
      <c r="K287" s="25"/>
      <c r="L287" s="25"/>
      <c r="M287" s="25"/>
      <c r="N287" s="25"/>
    </row>
    <row r="288" spans="4:14">
      <c r="D288" s="9"/>
      <c r="E288" s="25"/>
      <c r="F288" s="25"/>
      <c r="G288" s="25"/>
      <c r="H288" s="319"/>
      <c r="I288" s="25"/>
      <c r="J288" s="25"/>
      <c r="K288" s="25"/>
      <c r="L288" s="25"/>
      <c r="M288" s="25"/>
      <c r="N288" s="25"/>
    </row>
    <row r="289" spans="4:14">
      <c r="D289" s="9"/>
      <c r="E289" s="25"/>
      <c r="F289" s="25"/>
      <c r="G289" s="25"/>
      <c r="H289" s="319"/>
      <c r="I289" s="25"/>
      <c r="J289" s="25"/>
      <c r="K289" s="25"/>
      <c r="L289" s="25"/>
      <c r="M289" s="25"/>
      <c r="N289" s="25"/>
    </row>
    <row r="290" spans="4:14">
      <c r="D290" s="9"/>
      <c r="E290" s="25"/>
      <c r="F290" s="25"/>
      <c r="G290" s="25"/>
      <c r="H290" s="319"/>
      <c r="I290" s="25"/>
      <c r="J290" s="25"/>
      <c r="K290" s="25"/>
      <c r="L290" s="25"/>
      <c r="M290" s="25"/>
      <c r="N290" s="25"/>
    </row>
    <row r="291" spans="4:14">
      <c r="D291" s="9"/>
      <c r="E291" s="25"/>
      <c r="F291" s="25"/>
      <c r="G291" s="25"/>
      <c r="H291" s="319"/>
      <c r="I291" s="25"/>
      <c r="J291" s="25"/>
      <c r="K291" s="25"/>
      <c r="L291" s="25"/>
      <c r="M291" s="25"/>
      <c r="N291" s="25"/>
    </row>
    <row r="292" spans="4:14">
      <c r="D292" s="9"/>
      <c r="E292" s="25"/>
      <c r="F292" s="25"/>
      <c r="G292" s="25"/>
      <c r="H292" s="319"/>
      <c r="I292" s="25"/>
      <c r="J292" s="25"/>
      <c r="K292" s="25"/>
      <c r="L292" s="25"/>
      <c r="M292" s="25"/>
      <c r="N292" s="25"/>
    </row>
    <row r="293" spans="4:14">
      <c r="D293" s="9"/>
      <c r="E293" s="25"/>
      <c r="F293" s="25"/>
      <c r="G293" s="25"/>
      <c r="H293" s="319"/>
      <c r="I293" s="25"/>
      <c r="J293" s="25"/>
      <c r="K293" s="25"/>
      <c r="L293" s="25"/>
      <c r="M293" s="25"/>
      <c r="N293" s="25"/>
    </row>
    <row r="294" spans="4:14">
      <c r="D294" s="9"/>
      <c r="E294" s="25"/>
      <c r="F294" s="25"/>
      <c r="G294" s="25"/>
      <c r="H294" s="319"/>
      <c r="I294" s="25"/>
      <c r="J294" s="25"/>
      <c r="K294" s="25"/>
      <c r="L294" s="25"/>
      <c r="M294" s="25"/>
      <c r="N294" s="25"/>
    </row>
    <row r="295" spans="4:14">
      <c r="D295" s="9"/>
      <c r="E295" s="25"/>
      <c r="F295" s="25"/>
      <c r="G295" s="25"/>
      <c r="H295" s="319"/>
      <c r="I295" s="25"/>
      <c r="J295" s="25"/>
      <c r="K295" s="25"/>
      <c r="L295" s="25"/>
      <c r="M295" s="25"/>
      <c r="N295" s="25"/>
    </row>
    <row r="296" spans="4:14">
      <c r="D296" s="9"/>
      <c r="E296" s="25"/>
      <c r="F296" s="25"/>
      <c r="G296" s="25"/>
      <c r="H296" s="319"/>
      <c r="I296" s="25"/>
      <c r="J296" s="25"/>
      <c r="K296" s="25"/>
      <c r="L296" s="25"/>
      <c r="M296" s="25"/>
      <c r="N296" s="25"/>
    </row>
    <row r="297" spans="4:14">
      <c r="D297" s="9"/>
      <c r="E297" s="25"/>
      <c r="F297" s="25"/>
      <c r="G297" s="25"/>
      <c r="H297" s="319"/>
      <c r="I297" s="25"/>
      <c r="J297" s="25"/>
      <c r="K297" s="25"/>
      <c r="L297" s="25"/>
      <c r="M297" s="25"/>
      <c r="N297" s="25"/>
    </row>
    <row r="298" spans="4:14">
      <c r="D298" s="9"/>
      <c r="E298" s="25"/>
      <c r="F298" s="25"/>
      <c r="G298" s="25"/>
      <c r="H298" s="319"/>
      <c r="I298" s="25"/>
      <c r="J298" s="25"/>
      <c r="K298" s="25"/>
      <c r="L298" s="25"/>
      <c r="M298" s="25"/>
      <c r="N298" s="25"/>
    </row>
    <row r="299" spans="4:14">
      <c r="D299" s="9"/>
      <c r="E299" s="25"/>
      <c r="F299" s="25"/>
      <c r="G299" s="25"/>
      <c r="H299" s="319"/>
      <c r="I299" s="25"/>
      <c r="J299" s="25"/>
      <c r="K299" s="25"/>
      <c r="L299" s="25"/>
      <c r="M299" s="25"/>
      <c r="N299" s="25"/>
    </row>
    <row r="300" spans="4:14">
      <c r="D300" s="9"/>
      <c r="E300" s="25"/>
      <c r="F300" s="25"/>
      <c r="G300" s="25"/>
      <c r="H300" s="319"/>
      <c r="I300" s="25"/>
      <c r="J300" s="25"/>
      <c r="K300" s="25"/>
      <c r="L300" s="25"/>
      <c r="M300" s="25"/>
      <c r="N300" s="25"/>
    </row>
    <row r="301" spans="4:14">
      <c r="D301" s="9"/>
      <c r="E301" s="25"/>
      <c r="F301" s="25"/>
      <c r="G301" s="25"/>
      <c r="H301" s="319"/>
      <c r="I301" s="25"/>
      <c r="J301" s="25"/>
      <c r="K301" s="25"/>
      <c r="L301" s="25"/>
      <c r="M301" s="25"/>
      <c r="N301" s="25"/>
    </row>
    <row r="302" spans="4:14">
      <c r="D302" s="9"/>
      <c r="E302" s="25"/>
      <c r="F302" s="25"/>
      <c r="G302" s="25"/>
      <c r="H302" s="319"/>
      <c r="I302" s="25"/>
      <c r="J302" s="25"/>
      <c r="K302" s="25"/>
      <c r="L302" s="25"/>
      <c r="M302" s="25"/>
      <c r="N302" s="25"/>
    </row>
    <row r="303" spans="4:14">
      <c r="D303" s="9"/>
      <c r="E303" s="25"/>
      <c r="F303" s="25"/>
      <c r="G303" s="25"/>
      <c r="H303" s="319"/>
      <c r="I303" s="25"/>
      <c r="J303" s="25"/>
      <c r="K303" s="25"/>
      <c r="L303" s="25"/>
      <c r="M303" s="25"/>
      <c r="N303" s="25"/>
    </row>
    <row r="304" spans="4:14">
      <c r="D304" s="9"/>
      <c r="E304" s="25"/>
      <c r="F304" s="25"/>
      <c r="G304" s="25"/>
      <c r="H304" s="319"/>
      <c r="I304" s="25"/>
      <c r="J304" s="25"/>
      <c r="K304" s="25"/>
      <c r="L304" s="25"/>
      <c r="M304" s="25"/>
      <c r="N304" s="25"/>
    </row>
    <row r="305" spans="4:14">
      <c r="D305" s="9"/>
      <c r="E305" s="25"/>
      <c r="F305" s="25"/>
      <c r="G305" s="25"/>
      <c r="H305" s="319"/>
      <c r="I305" s="25"/>
      <c r="J305" s="25"/>
      <c r="K305" s="25"/>
      <c r="L305" s="25"/>
      <c r="M305" s="25"/>
      <c r="N305" s="25"/>
    </row>
    <row r="306" spans="4:14">
      <c r="D306" s="9"/>
      <c r="E306" s="25"/>
      <c r="F306" s="25"/>
      <c r="G306" s="25"/>
      <c r="H306" s="319"/>
      <c r="I306" s="25"/>
      <c r="J306" s="25"/>
      <c r="K306" s="25"/>
      <c r="L306" s="25"/>
      <c r="M306" s="25"/>
      <c r="N306" s="25"/>
    </row>
    <row r="307" spans="4:14">
      <c r="D307" s="9"/>
      <c r="E307" s="25"/>
      <c r="F307" s="25"/>
      <c r="G307" s="25"/>
      <c r="H307" s="319"/>
      <c r="I307" s="25"/>
      <c r="J307" s="25"/>
      <c r="K307" s="25"/>
      <c r="L307" s="25"/>
      <c r="M307" s="25"/>
      <c r="N307" s="25"/>
    </row>
    <row r="308" spans="4:14">
      <c r="D308" s="9"/>
      <c r="E308" s="25"/>
      <c r="F308" s="25"/>
      <c r="G308" s="25"/>
      <c r="H308" s="319"/>
      <c r="I308" s="25"/>
      <c r="J308" s="25"/>
      <c r="K308" s="25"/>
      <c r="L308" s="25"/>
      <c r="M308" s="25"/>
      <c r="N308" s="25"/>
    </row>
    <row r="309" spans="4:14">
      <c r="D309" s="9"/>
      <c r="E309" s="25"/>
      <c r="F309" s="25"/>
      <c r="G309" s="25"/>
      <c r="H309" s="319"/>
      <c r="I309" s="25"/>
      <c r="J309" s="25"/>
      <c r="K309" s="25"/>
      <c r="L309" s="25"/>
      <c r="M309" s="25"/>
      <c r="N309" s="25"/>
    </row>
    <row r="310" spans="4:14">
      <c r="D310" s="9"/>
      <c r="E310" s="25"/>
      <c r="F310" s="25"/>
      <c r="G310" s="25"/>
      <c r="H310" s="319"/>
      <c r="I310" s="25"/>
      <c r="J310" s="25"/>
      <c r="K310" s="25"/>
      <c r="L310" s="25"/>
      <c r="M310" s="25"/>
      <c r="N310" s="25"/>
    </row>
    <row r="311" spans="4:14">
      <c r="D311" s="9"/>
      <c r="E311" s="25"/>
      <c r="F311" s="25"/>
      <c r="G311" s="25"/>
      <c r="H311" s="319"/>
      <c r="I311" s="25"/>
      <c r="J311" s="25"/>
      <c r="K311" s="25"/>
      <c r="L311" s="25"/>
      <c r="M311" s="25"/>
      <c r="N311" s="25"/>
    </row>
    <row r="312" spans="4:14">
      <c r="D312" s="9"/>
      <c r="E312" s="25"/>
      <c r="F312" s="25"/>
      <c r="G312" s="25"/>
      <c r="H312" s="319"/>
      <c r="I312" s="25"/>
      <c r="J312" s="25"/>
      <c r="K312" s="25"/>
      <c r="L312" s="25"/>
      <c r="M312" s="25"/>
      <c r="N312" s="25"/>
    </row>
    <row r="313" spans="4:14">
      <c r="D313" s="9"/>
      <c r="E313" s="25"/>
      <c r="F313" s="25"/>
      <c r="G313" s="25"/>
      <c r="H313" s="319"/>
      <c r="I313" s="25"/>
      <c r="J313" s="25"/>
      <c r="K313" s="25"/>
      <c r="L313" s="25"/>
      <c r="M313" s="25"/>
      <c r="N313" s="25"/>
    </row>
    <row r="314" spans="4:14">
      <c r="D314" s="9"/>
      <c r="E314" s="25"/>
      <c r="F314" s="25"/>
      <c r="G314" s="25"/>
      <c r="H314" s="319"/>
      <c r="I314" s="25"/>
      <c r="J314" s="25"/>
      <c r="K314" s="25"/>
      <c r="L314" s="25"/>
      <c r="M314" s="25"/>
      <c r="N314" s="25"/>
    </row>
    <row r="315" spans="4:14">
      <c r="D315" s="9"/>
      <c r="E315" s="25"/>
      <c r="F315" s="25"/>
      <c r="G315" s="25"/>
      <c r="H315" s="319"/>
      <c r="I315" s="25"/>
      <c r="J315" s="25"/>
      <c r="K315" s="25"/>
      <c r="L315" s="25"/>
      <c r="M315" s="25"/>
      <c r="N315" s="25"/>
    </row>
    <row r="316" spans="4:14">
      <c r="D316" s="9"/>
      <c r="E316" s="25"/>
      <c r="F316" s="25"/>
      <c r="G316" s="25"/>
      <c r="H316" s="319"/>
      <c r="I316" s="25"/>
      <c r="J316" s="25"/>
      <c r="K316" s="25"/>
      <c r="L316" s="25"/>
      <c r="M316" s="25"/>
      <c r="N316" s="25"/>
    </row>
    <row r="317" spans="4:14">
      <c r="D317" s="9"/>
      <c r="E317" s="25"/>
      <c r="F317" s="25"/>
      <c r="G317" s="25"/>
      <c r="H317" s="319"/>
      <c r="I317" s="25"/>
      <c r="J317" s="25"/>
      <c r="K317" s="25"/>
      <c r="L317" s="25"/>
      <c r="M317" s="25"/>
      <c r="N317" s="25"/>
    </row>
    <row r="318" spans="4:14">
      <c r="D318" s="9"/>
      <c r="E318" s="25"/>
      <c r="F318" s="25"/>
      <c r="G318" s="25"/>
      <c r="H318" s="319"/>
      <c r="I318" s="25"/>
      <c r="J318" s="25"/>
      <c r="K318" s="25"/>
      <c r="L318" s="25"/>
      <c r="M318" s="25"/>
      <c r="N318" s="25"/>
    </row>
    <row r="319" spans="4:14">
      <c r="D319" s="9"/>
      <c r="E319" s="25"/>
      <c r="F319" s="25"/>
      <c r="G319" s="25"/>
      <c r="H319" s="319"/>
      <c r="I319" s="25"/>
      <c r="J319" s="25"/>
      <c r="K319" s="25"/>
      <c r="L319" s="25"/>
      <c r="M319" s="25"/>
      <c r="N319" s="25"/>
    </row>
    <row r="320" spans="4:14">
      <c r="D320" s="9"/>
      <c r="E320" s="25"/>
      <c r="F320" s="25"/>
      <c r="G320" s="25"/>
      <c r="H320" s="319"/>
      <c r="I320" s="25"/>
      <c r="J320" s="25"/>
      <c r="K320" s="25"/>
      <c r="L320" s="25"/>
      <c r="M320" s="25"/>
      <c r="N320" s="25"/>
    </row>
    <row r="321" spans="4:14">
      <c r="D321" s="9"/>
      <c r="E321" s="25"/>
      <c r="F321" s="25"/>
      <c r="G321" s="25"/>
      <c r="H321" s="319"/>
      <c r="I321" s="25"/>
      <c r="J321" s="25"/>
      <c r="K321" s="25"/>
      <c r="L321" s="25"/>
      <c r="M321" s="25"/>
      <c r="N321" s="25"/>
    </row>
    <row r="322" spans="4:14">
      <c r="D322" s="9"/>
      <c r="E322" s="25"/>
      <c r="F322" s="25"/>
      <c r="G322" s="25"/>
      <c r="H322" s="319"/>
      <c r="I322" s="25"/>
      <c r="J322" s="25"/>
      <c r="K322" s="25"/>
      <c r="L322" s="25"/>
      <c r="M322" s="25"/>
      <c r="N322" s="25"/>
    </row>
    <row r="323" spans="4:14">
      <c r="D323" s="9"/>
      <c r="E323" s="25"/>
      <c r="F323" s="25"/>
      <c r="G323" s="25"/>
      <c r="H323" s="319"/>
      <c r="I323" s="25"/>
      <c r="J323" s="25"/>
      <c r="K323" s="25"/>
      <c r="L323" s="25"/>
      <c r="M323" s="25"/>
      <c r="N323" s="25"/>
    </row>
    <row r="324" spans="4:14">
      <c r="D324" s="9"/>
      <c r="E324" s="25"/>
      <c r="F324" s="25"/>
      <c r="G324" s="25"/>
      <c r="H324" s="319"/>
      <c r="I324" s="25"/>
      <c r="J324" s="25"/>
      <c r="K324" s="25"/>
      <c r="L324" s="25"/>
      <c r="M324" s="25"/>
      <c r="N324" s="25"/>
    </row>
    <row r="325" spans="4:14">
      <c r="D325" s="9"/>
      <c r="E325" s="25"/>
      <c r="F325" s="25"/>
      <c r="G325" s="25"/>
      <c r="H325" s="319"/>
      <c r="I325" s="25"/>
      <c r="J325" s="25"/>
      <c r="K325" s="25"/>
      <c r="L325" s="25"/>
      <c r="M325" s="25"/>
      <c r="N325" s="25"/>
    </row>
    <row r="326" spans="4:14">
      <c r="D326" s="9"/>
      <c r="E326" s="25"/>
      <c r="F326" s="25"/>
      <c r="G326" s="25"/>
      <c r="H326" s="319"/>
      <c r="I326" s="25"/>
      <c r="J326" s="25"/>
      <c r="K326" s="25"/>
      <c r="L326" s="25"/>
      <c r="M326" s="25"/>
      <c r="N326" s="25"/>
    </row>
    <row r="327" spans="4:14">
      <c r="D327" s="9"/>
      <c r="E327" s="25"/>
      <c r="F327" s="25"/>
      <c r="G327" s="25"/>
      <c r="H327" s="319"/>
      <c r="I327" s="25"/>
      <c r="J327" s="25"/>
      <c r="K327" s="25"/>
      <c r="L327" s="25"/>
      <c r="M327" s="25"/>
      <c r="N327" s="25"/>
    </row>
    <row r="328" spans="4:14">
      <c r="D328" s="9"/>
      <c r="E328" s="25"/>
      <c r="F328" s="25"/>
      <c r="G328" s="25"/>
      <c r="H328" s="319"/>
      <c r="I328" s="25"/>
      <c r="J328" s="25"/>
      <c r="K328" s="25"/>
      <c r="L328" s="25"/>
      <c r="M328" s="25"/>
      <c r="N328" s="25"/>
    </row>
    <row r="329" spans="4:14">
      <c r="D329" s="9"/>
      <c r="E329" s="25"/>
      <c r="F329" s="25"/>
      <c r="G329" s="25"/>
      <c r="H329" s="319"/>
      <c r="I329" s="25"/>
      <c r="J329" s="25"/>
      <c r="K329" s="25"/>
      <c r="L329" s="25"/>
      <c r="M329" s="25"/>
      <c r="N329" s="25"/>
    </row>
    <row r="330" spans="4:14">
      <c r="D330" s="9"/>
      <c r="E330" s="25"/>
      <c r="F330" s="25"/>
      <c r="G330" s="25"/>
      <c r="H330" s="319"/>
      <c r="I330" s="25"/>
      <c r="J330" s="25"/>
      <c r="K330" s="25"/>
      <c r="L330" s="25"/>
      <c r="M330" s="25"/>
      <c r="N330" s="25"/>
    </row>
    <row r="331" spans="4:14">
      <c r="D331" s="9"/>
      <c r="E331" s="25"/>
      <c r="F331" s="25"/>
      <c r="G331" s="25"/>
      <c r="H331" s="319"/>
      <c r="I331" s="25"/>
      <c r="J331" s="25"/>
      <c r="K331" s="25"/>
      <c r="L331" s="25"/>
      <c r="M331" s="25"/>
      <c r="N331" s="25"/>
    </row>
    <row r="332" spans="4:14">
      <c r="D332" s="9"/>
      <c r="E332" s="25"/>
      <c r="F332" s="25"/>
      <c r="G332" s="25"/>
      <c r="H332" s="319"/>
      <c r="I332" s="25"/>
      <c r="J332" s="25"/>
      <c r="K332" s="25"/>
      <c r="L332" s="25"/>
      <c r="M332" s="25"/>
      <c r="N332" s="25"/>
    </row>
    <row r="333" spans="4:14">
      <c r="D333" s="9"/>
      <c r="E333" s="25"/>
      <c r="F333" s="25"/>
      <c r="G333" s="25"/>
      <c r="H333" s="319"/>
      <c r="I333" s="25"/>
      <c r="J333" s="25"/>
      <c r="K333" s="25"/>
      <c r="L333" s="25"/>
      <c r="M333" s="25"/>
      <c r="N333" s="25"/>
    </row>
    <row r="334" spans="4:14">
      <c r="D334" s="9"/>
      <c r="E334" s="25"/>
      <c r="F334" s="25"/>
      <c r="G334" s="25"/>
      <c r="H334" s="319"/>
      <c r="I334" s="25"/>
      <c r="J334" s="25"/>
      <c r="K334" s="25"/>
      <c r="L334" s="25"/>
      <c r="M334" s="25"/>
      <c r="N334" s="25"/>
    </row>
    <row r="335" spans="4:14">
      <c r="D335" s="9"/>
      <c r="E335" s="25"/>
      <c r="F335" s="25"/>
      <c r="G335" s="25"/>
      <c r="H335" s="319"/>
      <c r="I335" s="25"/>
      <c r="J335" s="25"/>
      <c r="K335" s="25"/>
      <c r="L335" s="25"/>
      <c r="M335" s="25"/>
      <c r="N335" s="25"/>
    </row>
    <row r="336" spans="4:14">
      <c r="D336" s="9"/>
      <c r="E336" s="25"/>
      <c r="F336" s="25"/>
      <c r="G336" s="25"/>
      <c r="H336" s="319"/>
      <c r="I336" s="25"/>
      <c r="J336" s="25"/>
      <c r="K336" s="25"/>
      <c r="L336" s="25"/>
      <c r="M336" s="25"/>
      <c r="N336" s="25"/>
    </row>
    <row r="337" spans="4:14">
      <c r="D337" s="9"/>
      <c r="E337" s="25"/>
      <c r="F337" s="25"/>
      <c r="G337" s="25"/>
      <c r="H337" s="319"/>
      <c r="I337" s="25"/>
      <c r="J337" s="25"/>
      <c r="K337" s="25"/>
      <c r="L337" s="25"/>
      <c r="M337" s="25"/>
      <c r="N337" s="25"/>
    </row>
    <row r="338" spans="4:14">
      <c r="D338" s="9"/>
      <c r="E338" s="25"/>
      <c r="F338" s="25"/>
      <c r="G338" s="25"/>
      <c r="H338" s="319"/>
      <c r="I338" s="25"/>
      <c r="J338" s="25"/>
      <c r="K338" s="25"/>
      <c r="L338" s="25"/>
      <c r="M338" s="25"/>
      <c r="N338" s="25"/>
    </row>
    <row r="339" spans="4:14">
      <c r="D339" s="9"/>
      <c r="E339" s="25"/>
      <c r="F339" s="25"/>
      <c r="G339" s="25"/>
      <c r="H339" s="319"/>
      <c r="I339" s="25"/>
      <c r="J339" s="25"/>
      <c r="K339" s="25"/>
      <c r="L339" s="25"/>
      <c r="M339" s="25"/>
      <c r="N339" s="25"/>
    </row>
    <row r="340" spans="4:14">
      <c r="D340" s="9"/>
      <c r="E340" s="25"/>
      <c r="F340" s="25"/>
      <c r="G340" s="25"/>
      <c r="H340" s="319"/>
      <c r="I340" s="25"/>
      <c r="J340" s="25"/>
      <c r="K340" s="25"/>
      <c r="L340" s="25"/>
      <c r="M340" s="25"/>
      <c r="N340" s="25"/>
    </row>
    <row r="341" spans="4:14">
      <c r="D341" s="9"/>
      <c r="E341" s="25"/>
      <c r="F341" s="25"/>
      <c r="G341" s="25"/>
      <c r="H341" s="319"/>
      <c r="I341" s="25"/>
      <c r="J341" s="25"/>
      <c r="K341" s="25"/>
      <c r="L341" s="25"/>
      <c r="M341" s="25"/>
      <c r="N341" s="25"/>
    </row>
    <row r="342" spans="4:14">
      <c r="D342" s="9"/>
      <c r="E342" s="25"/>
      <c r="F342" s="25"/>
      <c r="G342" s="25"/>
      <c r="H342" s="319"/>
      <c r="I342" s="25"/>
      <c r="J342" s="25"/>
      <c r="K342" s="25"/>
      <c r="L342" s="25"/>
      <c r="M342" s="25"/>
      <c r="N342" s="25"/>
    </row>
    <row r="343" spans="4:14">
      <c r="D343" s="9"/>
      <c r="E343" s="25"/>
      <c r="F343" s="25"/>
      <c r="G343" s="25"/>
      <c r="H343" s="319"/>
      <c r="I343" s="25"/>
      <c r="J343" s="25"/>
      <c r="K343" s="25"/>
      <c r="L343" s="25"/>
      <c r="M343" s="25"/>
      <c r="N343" s="25"/>
    </row>
    <row r="344" spans="4:14">
      <c r="D344" s="9"/>
      <c r="E344" s="25"/>
      <c r="F344" s="25"/>
      <c r="G344" s="25"/>
      <c r="H344" s="319"/>
      <c r="I344" s="25"/>
      <c r="J344" s="25"/>
      <c r="K344" s="25"/>
      <c r="L344" s="25"/>
      <c r="M344" s="25"/>
      <c r="N344" s="25"/>
    </row>
    <row r="345" spans="4:14">
      <c r="D345" s="9"/>
      <c r="E345" s="25"/>
      <c r="F345" s="25"/>
      <c r="G345" s="25"/>
      <c r="H345" s="319"/>
      <c r="I345" s="25"/>
      <c r="J345" s="25"/>
      <c r="K345" s="25"/>
      <c r="L345" s="25"/>
      <c r="M345" s="25"/>
      <c r="N345" s="25"/>
    </row>
    <row r="346" spans="4:14">
      <c r="D346" s="9"/>
      <c r="E346" s="25"/>
      <c r="F346" s="25"/>
      <c r="G346" s="25"/>
      <c r="H346" s="319"/>
      <c r="I346" s="25"/>
      <c r="J346" s="25"/>
      <c r="K346" s="25"/>
      <c r="L346" s="25"/>
      <c r="M346" s="25"/>
      <c r="N346" s="25"/>
    </row>
    <row r="347" spans="4:14">
      <c r="D347" s="9"/>
      <c r="E347" s="25"/>
      <c r="F347" s="25"/>
      <c r="G347" s="25"/>
      <c r="H347" s="319"/>
      <c r="I347" s="25"/>
      <c r="J347" s="25"/>
      <c r="K347" s="25"/>
      <c r="L347" s="25"/>
      <c r="M347" s="25"/>
      <c r="N347" s="25"/>
    </row>
    <row r="348" spans="4:14">
      <c r="D348" s="9"/>
      <c r="E348" s="25"/>
      <c r="F348" s="25"/>
      <c r="G348" s="25"/>
      <c r="H348" s="319"/>
      <c r="I348" s="25"/>
      <c r="J348" s="25"/>
      <c r="K348" s="25"/>
      <c r="L348" s="25"/>
      <c r="M348" s="25"/>
      <c r="N348" s="25"/>
    </row>
    <row r="349" spans="4:14">
      <c r="D349" s="9"/>
      <c r="E349" s="25"/>
      <c r="F349" s="25"/>
      <c r="G349" s="25"/>
      <c r="H349" s="319"/>
      <c r="I349" s="25"/>
      <c r="J349" s="25"/>
      <c r="K349" s="25"/>
      <c r="L349" s="25"/>
      <c r="M349" s="25"/>
      <c r="N349" s="25"/>
    </row>
    <row r="350" spans="4:14">
      <c r="D350" s="9"/>
      <c r="E350" s="25"/>
      <c r="F350" s="25"/>
      <c r="G350" s="25"/>
      <c r="H350" s="319"/>
      <c r="I350" s="25"/>
      <c r="J350" s="25"/>
      <c r="K350" s="25"/>
      <c r="L350" s="25"/>
      <c r="M350" s="25"/>
      <c r="N350" s="25"/>
    </row>
    <row r="351" spans="4:14">
      <c r="D351" s="9"/>
      <c r="E351" s="25"/>
      <c r="F351" s="25"/>
      <c r="G351" s="25"/>
      <c r="H351" s="319"/>
      <c r="I351" s="25"/>
      <c r="J351" s="25"/>
      <c r="K351" s="25"/>
      <c r="L351" s="25"/>
      <c r="M351" s="25"/>
      <c r="N351" s="25"/>
    </row>
    <row r="352" spans="4:14">
      <c r="D352" s="9"/>
      <c r="E352" s="25"/>
      <c r="F352" s="25"/>
      <c r="G352" s="25"/>
      <c r="H352" s="319"/>
      <c r="I352" s="25"/>
      <c r="J352" s="25"/>
      <c r="K352" s="25"/>
      <c r="L352" s="25"/>
      <c r="M352" s="25"/>
      <c r="N352" s="25"/>
    </row>
    <row r="353" spans="4:14">
      <c r="D353" s="9"/>
      <c r="E353" s="25"/>
      <c r="F353" s="25"/>
      <c r="G353" s="25"/>
      <c r="H353" s="319"/>
      <c r="I353" s="25"/>
      <c r="J353" s="25"/>
      <c r="K353" s="25"/>
      <c r="L353" s="25"/>
      <c r="M353" s="25"/>
      <c r="N353" s="25"/>
    </row>
    <row r="354" spans="4:14">
      <c r="D354" s="9"/>
      <c r="E354" s="25"/>
      <c r="F354" s="25"/>
      <c r="G354" s="25"/>
      <c r="H354" s="319"/>
      <c r="I354" s="25"/>
      <c r="J354" s="25"/>
      <c r="K354" s="25"/>
      <c r="L354" s="25"/>
      <c r="M354" s="25"/>
      <c r="N354" s="25"/>
    </row>
    <row r="355" spans="4:14">
      <c r="D355" s="9"/>
      <c r="E355" s="25"/>
      <c r="F355" s="25"/>
      <c r="G355" s="25"/>
      <c r="H355" s="319"/>
      <c r="I355" s="25"/>
      <c r="J355" s="25"/>
      <c r="K355" s="25"/>
      <c r="L355" s="25"/>
      <c r="M355" s="25"/>
      <c r="N355" s="25"/>
    </row>
    <row r="356" spans="4:14">
      <c r="D356" s="9"/>
      <c r="E356" s="25"/>
      <c r="F356" s="25"/>
      <c r="G356" s="25"/>
      <c r="H356" s="319"/>
      <c r="I356" s="25"/>
      <c r="J356" s="25"/>
      <c r="K356" s="25"/>
      <c r="L356" s="25"/>
      <c r="M356" s="25"/>
      <c r="N356" s="25"/>
    </row>
    <row r="357" spans="4:14">
      <c r="D357" s="9"/>
      <c r="E357" s="25"/>
      <c r="F357" s="25"/>
      <c r="G357" s="25"/>
      <c r="H357" s="319"/>
      <c r="I357" s="25"/>
      <c r="J357" s="25"/>
      <c r="K357" s="25"/>
      <c r="L357" s="25"/>
      <c r="M357" s="25"/>
      <c r="N357" s="25"/>
    </row>
    <row r="358" spans="4:14">
      <c r="D358" s="9"/>
      <c r="E358" s="25"/>
      <c r="F358" s="25"/>
      <c r="G358" s="25"/>
      <c r="H358" s="319"/>
      <c r="I358" s="25"/>
      <c r="J358" s="25"/>
      <c r="K358" s="25"/>
      <c r="L358" s="25"/>
      <c r="M358" s="25"/>
      <c r="N358" s="25"/>
    </row>
    <row r="359" spans="4:14">
      <c r="D359" s="9"/>
      <c r="E359" s="25"/>
      <c r="F359" s="25"/>
      <c r="G359" s="25"/>
      <c r="H359" s="319"/>
      <c r="I359" s="25"/>
      <c r="J359" s="25"/>
      <c r="K359" s="25"/>
      <c r="L359" s="25"/>
      <c r="M359" s="25"/>
      <c r="N359" s="25"/>
    </row>
    <row r="360" spans="4:14">
      <c r="D360" s="9"/>
      <c r="E360" s="25"/>
      <c r="F360" s="25"/>
      <c r="G360" s="25"/>
      <c r="H360" s="319"/>
      <c r="I360" s="25"/>
      <c r="J360" s="25"/>
      <c r="K360" s="25"/>
      <c r="L360" s="25"/>
      <c r="M360" s="25"/>
      <c r="N360" s="25"/>
    </row>
    <row r="361" spans="4:14">
      <c r="D361" s="9"/>
      <c r="E361" s="25"/>
      <c r="F361" s="25"/>
      <c r="G361" s="25"/>
      <c r="H361" s="319"/>
      <c r="I361" s="25"/>
      <c r="J361" s="25"/>
      <c r="K361" s="25"/>
      <c r="L361" s="25"/>
      <c r="M361" s="25"/>
      <c r="N361" s="25"/>
    </row>
    <row r="362" spans="4:14">
      <c r="D362" s="9"/>
      <c r="E362" s="25"/>
      <c r="F362" s="25"/>
      <c r="G362" s="25"/>
      <c r="H362" s="319"/>
      <c r="I362" s="25"/>
      <c r="J362" s="25"/>
      <c r="K362" s="25"/>
      <c r="L362" s="25"/>
      <c r="M362" s="25"/>
      <c r="N362" s="25"/>
    </row>
    <row r="363" spans="4:14">
      <c r="D363" s="9"/>
      <c r="E363" s="25"/>
      <c r="F363" s="25"/>
      <c r="G363" s="25"/>
      <c r="H363" s="319"/>
      <c r="I363" s="25"/>
      <c r="J363" s="25"/>
      <c r="K363" s="25"/>
      <c r="L363" s="25"/>
      <c r="M363" s="25"/>
      <c r="N363" s="25"/>
    </row>
    <row r="364" spans="4:14">
      <c r="D364" s="9"/>
      <c r="E364" s="25"/>
      <c r="F364" s="25"/>
      <c r="G364" s="25"/>
      <c r="H364" s="319"/>
      <c r="I364" s="25"/>
      <c r="J364" s="25"/>
      <c r="K364" s="25"/>
      <c r="L364" s="25"/>
      <c r="M364" s="25"/>
      <c r="N364" s="25"/>
    </row>
    <row r="365" spans="4:14">
      <c r="D365" s="9"/>
      <c r="E365" s="25"/>
      <c r="F365" s="25"/>
      <c r="G365" s="25"/>
      <c r="H365" s="319"/>
      <c r="I365" s="25"/>
      <c r="J365" s="25"/>
      <c r="K365" s="25"/>
      <c r="L365" s="25"/>
      <c r="M365" s="25"/>
      <c r="N365" s="25"/>
    </row>
    <row r="366" spans="4:14">
      <c r="D366" s="9"/>
      <c r="E366" s="25"/>
      <c r="F366" s="25"/>
      <c r="G366" s="25"/>
      <c r="H366" s="319"/>
      <c r="I366" s="25"/>
      <c r="J366" s="25"/>
      <c r="K366" s="25"/>
      <c r="L366" s="25"/>
      <c r="M366" s="25"/>
      <c r="N366" s="25"/>
    </row>
    <row r="367" spans="4:14">
      <c r="D367" s="9"/>
      <c r="E367" s="25"/>
      <c r="F367" s="25"/>
      <c r="G367" s="25"/>
      <c r="H367" s="319"/>
      <c r="I367" s="25"/>
      <c r="J367" s="25"/>
      <c r="K367" s="25"/>
      <c r="L367" s="25"/>
      <c r="M367" s="25"/>
      <c r="N367" s="25"/>
    </row>
    <row r="368" spans="4:14">
      <c r="D368" s="9"/>
      <c r="E368" s="25"/>
      <c r="F368" s="25"/>
      <c r="G368" s="25"/>
      <c r="H368" s="319"/>
      <c r="I368" s="25"/>
      <c r="J368" s="25"/>
      <c r="K368" s="25"/>
      <c r="L368" s="25"/>
      <c r="M368" s="25"/>
      <c r="N368" s="25"/>
    </row>
    <row r="369" spans="4:14">
      <c r="D369" s="9"/>
      <c r="E369" s="25"/>
      <c r="F369" s="25"/>
      <c r="G369" s="25"/>
      <c r="H369" s="319"/>
      <c r="I369" s="25"/>
      <c r="J369" s="25"/>
      <c r="K369" s="25"/>
      <c r="L369" s="25"/>
      <c r="M369" s="25"/>
      <c r="N369" s="25"/>
    </row>
    <row r="370" spans="4:14">
      <c r="D370" s="9"/>
      <c r="E370" s="25"/>
      <c r="F370" s="25"/>
      <c r="G370" s="25"/>
      <c r="H370" s="319"/>
      <c r="I370" s="25"/>
      <c r="J370" s="25"/>
      <c r="K370" s="25"/>
      <c r="L370" s="25"/>
      <c r="M370" s="25"/>
      <c r="N370" s="25"/>
    </row>
    <row r="371" spans="4:14">
      <c r="D371" s="9"/>
      <c r="E371" s="25"/>
      <c r="F371" s="25"/>
      <c r="G371" s="25"/>
      <c r="H371" s="319"/>
      <c r="I371" s="25"/>
      <c r="J371" s="25"/>
      <c r="K371" s="25"/>
      <c r="L371" s="25"/>
      <c r="M371" s="25"/>
      <c r="N371" s="25"/>
    </row>
    <row r="372" spans="4:14">
      <c r="D372" s="9"/>
      <c r="E372" s="25"/>
      <c r="F372" s="25"/>
      <c r="G372" s="25"/>
      <c r="H372" s="319"/>
      <c r="I372" s="25"/>
      <c r="J372" s="25"/>
      <c r="K372" s="25"/>
      <c r="L372" s="25"/>
      <c r="M372" s="25"/>
      <c r="N372" s="25"/>
    </row>
    <row r="373" spans="4:14">
      <c r="D373" s="9"/>
      <c r="E373" s="25"/>
      <c r="F373" s="25"/>
      <c r="G373" s="25"/>
      <c r="H373" s="319"/>
      <c r="I373" s="25"/>
      <c r="J373" s="25"/>
      <c r="K373" s="25"/>
      <c r="L373" s="25"/>
      <c r="M373" s="25"/>
      <c r="N373" s="25"/>
    </row>
    <row r="374" spans="4:14">
      <c r="D374" s="9"/>
      <c r="E374" s="25"/>
      <c r="F374" s="25"/>
      <c r="G374" s="25"/>
      <c r="H374" s="319"/>
      <c r="I374" s="25"/>
      <c r="J374" s="25"/>
      <c r="K374" s="25"/>
      <c r="L374" s="25"/>
      <c r="M374" s="25"/>
      <c r="N374" s="25"/>
    </row>
    <row r="375" spans="4:14">
      <c r="D375" s="9"/>
      <c r="E375" s="25"/>
      <c r="F375" s="25"/>
      <c r="G375" s="25"/>
      <c r="H375" s="319"/>
      <c r="I375" s="25"/>
      <c r="J375" s="25"/>
      <c r="K375" s="25"/>
      <c r="L375" s="25"/>
      <c r="M375" s="25"/>
      <c r="N375" s="25"/>
    </row>
    <row r="376" spans="4:14">
      <c r="D376" s="9"/>
      <c r="E376" s="25"/>
      <c r="F376" s="25"/>
      <c r="G376" s="25"/>
      <c r="H376" s="319"/>
      <c r="I376" s="25"/>
      <c r="J376" s="25"/>
      <c r="K376" s="25"/>
      <c r="L376" s="25"/>
      <c r="M376" s="25"/>
      <c r="N376" s="25"/>
    </row>
    <row r="377" spans="4:14">
      <c r="D377" s="9"/>
      <c r="E377" s="25"/>
      <c r="F377" s="25"/>
      <c r="G377" s="25"/>
      <c r="H377" s="319"/>
      <c r="I377" s="25"/>
      <c r="J377" s="25"/>
      <c r="K377" s="25"/>
      <c r="L377" s="25"/>
      <c r="M377" s="25"/>
      <c r="N377" s="25"/>
    </row>
    <row r="378" spans="4:14">
      <c r="D378" s="9"/>
      <c r="E378" s="25"/>
      <c r="F378" s="25"/>
      <c r="G378" s="25"/>
      <c r="H378" s="319"/>
      <c r="I378" s="25"/>
      <c r="J378" s="25"/>
      <c r="K378" s="25"/>
      <c r="L378" s="25"/>
      <c r="M378" s="25"/>
      <c r="N378" s="25"/>
    </row>
    <row r="379" spans="4:14">
      <c r="D379" s="9"/>
      <c r="E379" s="25"/>
      <c r="F379" s="25"/>
      <c r="G379" s="25"/>
      <c r="H379" s="319"/>
      <c r="I379" s="25"/>
      <c r="J379" s="25"/>
      <c r="K379" s="25"/>
      <c r="L379" s="25"/>
      <c r="M379" s="25"/>
      <c r="N379" s="25"/>
    </row>
    <row r="380" spans="4:14">
      <c r="D380" s="9"/>
      <c r="E380" s="25"/>
      <c r="F380" s="25"/>
      <c r="G380" s="25"/>
      <c r="H380" s="319"/>
      <c r="I380" s="25"/>
      <c r="J380" s="25"/>
      <c r="K380" s="25"/>
      <c r="L380" s="25"/>
      <c r="M380" s="25"/>
      <c r="N380" s="25"/>
    </row>
    <row r="381" spans="4:14">
      <c r="D381" s="9"/>
      <c r="E381" s="25"/>
      <c r="F381" s="25"/>
      <c r="G381" s="25"/>
      <c r="H381" s="319"/>
      <c r="I381" s="25"/>
      <c r="J381" s="25"/>
      <c r="K381" s="25"/>
      <c r="L381" s="25"/>
      <c r="M381" s="25"/>
      <c r="N381" s="25"/>
    </row>
    <row r="382" spans="4:14">
      <c r="D382" s="9"/>
      <c r="E382" s="25"/>
      <c r="F382" s="25"/>
      <c r="G382" s="25"/>
      <c r="H382" s="319"/>
      <c r="I382" s="25"/>
      <c r="J382" s="25"/>
      <c r="K382" s="25"/>
      <c r="L382" s="25"/>
      <c r="M382" s="25"/>
      <c r="N382" s="25"/>
    </row>
    <row r="383" spans="4:14">
      <c r="D383" s="9"/>
      <c r="E383" s="25"/>
      <c r="F383" s="25"/>
      <c r="G383" s="25"/>
      <c r="H383" s="319"/>
      <c r="I383" s="25"/>
      <c r="J383" s="25"/>
      <c r="K383" s="25"/>
      <c r="L383" s="25"/>
      <c r="M383" s="25"/>
      <c r="N383" s="25"/>
    </row>
    <row r="384" spans="4:14">
      <c r="D384" s="9"/>
      <c r="E384" s="25"/>
      <c r="F384" s="25"/>
      <c r="G384" s="25"/>
      <c r="H384" s="319"/>
      <c r="I384" s="25"/>
      <c r="J384" s="25"/>
      <c r="K384" s="25"/>
      <c r="L384" s="25"/>
      <c r="M384" s="25"/>
      <c r="N384" s="25"/>
    </row>
    <row r="385" spans="4:14">
      <c r="D385" s="9"/>
      <c r="E385" s="25"/>
      <c r="F385" s="25"/>
      <c r="G385" s="25"/>
      <c r="H385" s="319"/>
      <c r="I385" s="25"/>
      <c r="J385" s="25"/>
      <c r="K385" s="25"/>
      <c r="L385" s="25"/>
      <c r="M385" s="25"/>
      <c r="N385" s="25"/>
    </row>
    <row r="386" spans="4:14">
      <c r="D386" s="9"/>
      <c r="E386" s="25"/>
      <c r="F386" s="25"/>
      <c r="G386" s="25"/>
      <c r="H386" s="319"/>
      <c r="I386" s="25"/>
      <c r="J386" s="25"/>
      <c r="K386" s="25"/>
      <c r="L386" s="25"/>
      <c r="M386" s="25"/>
      <c r="N386" s="25"/>
    </row>
    <row r="387" spans="4:14">
      <c r="D387" s="9"/>
      <c r="E387" s="25"/>
      <c r="F387" s="25"/>
      <c r="G387" s="25"/>
      <c r="H387" s="319"/>
      <c r="I387" s="25"/>
      <c r="J387" s="25"/>
      <c r="K387" s="25"/>
      <c r="L387" s="25"/>
      <c r="M387" s="25"/>
      <c r="N387" s="25"/>
    </row>
    <row r="388" spans="4:14">
      <c r="D388" s="9"/>
      <c r="E388" s="25"/>
      <c r="F388" s="25"/>
      <c r="G388" s="25"/>
      <c r="H388" s="319"/>
      <c r="I388" s="25"/>
      <c r="J388" s="25"/>
      <c r="K388" s="25"/>
      <c r="L388" s="25"/>
      <c r="M388" s="25"/>
      <c r="N388" s="25"/>
    </row>
    <row r="389" spans="4:14">
      <c r="D389" s="9"/>
      <c r="E389" s="25"/>
      <c r="F389" s="25"/>
      <c r="G389" s="25"/>
      <c r="H389" s="319"/>
      <c r="I389" s="25"/>
      <c r="J389" s="25"/>
      <c r="K389" s="25"/>
      <c r="L389" s="25"/>
      <c r="M389" s="25"/>
      <c r="N389" s="25"/>
    </row>
    <row r="390" spans="4:14">
      <c r="D390" s="9"/>
      <c r="E390" s="25"/>
      <c r="F390" s="25"/>
      <c r="G390" s="25"/>
      <c r="H390" s="319"/>
      <c r="I390" s="25"/>
      <c r="J390" s="25"/>
      <c r="K390" s="25"/>
      <c r="L390" s="25"/>
      <c r="M390" s="25"/>
      <c r="N390" s="25"/>
    </row>
    <row r="391" spans="4:14">
      <c r="D391" s="9"/>
      <c r="E391" s="25"/>
      <c r="F391" s="25"/>
      <c r="G391" s="25"/>
      <c r="H391" s="319"/>
      <c r="I391" s="25"/>
      <c r="J391" s="25"/>
      <c r="K391" s="25"/>
      <c r="L391" s="25"/>
      <c r="M391" s="25"/>
      <c r="N391" s="25"/>
    </row>
    <row r="392" spans="4:14">
      <c r="D392" s="9"/>
      <c r="E392" s="25"/>
      <c r="F392" s="25"/>
      <c r="G392" s="25"/>
      <c r="H392" s="319"/>
      <c r="I392" s="25"/>
      <c r="J392" s="25"/>
      <c r="K392" s="25"/>
      <c r="L392" s="25"/>
      <c r="M392" s="25"/>
      <c r="N392" s="25"/>
    </row>
    <row r="393" spans="4:14">
      <c r="D393" s="9"/>
      <c r="E393" s="25"/>
      <c r="F393" s="25"/>
      <c r="G393" s="25"/>
      <c r="H393" s="319"/>
      <c r="I393" s="25"/>
      <c r="J393" s="25"/>
      <c r="K393" s="25"/>
      <c r="L393" s="25"/>
      <c r="M393" s="25"/>
      <c r="N393" s="25"/>
    </row>
    <row r="394" spans="4:14">
      <c r="D394" s="9"/>
      <c r="E394" s="25"/>
      <c r="F394" s="25"/>
      <c r="G394" s="25"/>
      <c r="H394" s="319"/>
      <c r="I394" s="25"/>
      <c r="J394" s="25"/>
      <c r="K394" s="25"/>
      <c r="L394" s="25"/>
      <c r="M394" s="25"/>
      <c r="N394" s="25"/>
    </row>
    <row r="395" spans="4:14">
      <c r="D395" s="9"/>
      <c r="E395" s="25"/>
      <c r="F395" s="25"/>
      <c r="G395" s="25"/>
      <c r="H395" s="319"/>
      <c r="I395" s="25"/>
      <c r="J395" s="25"/>
      <c r="K395" s="25"/>
      <c r="L395" s="25"/>
      <c r="M395" s="25"/>
      <c r="N395" s="25"/>
    </row>
    <row r="396" spans="4:14">
      <c r="D396" s="9"/>
      <c r="E396" s="25"/>
      <c r="F396" s="25"/>
      <c r="G396" s="25"/>
      <c r="H396" s="319"/>
      <c r="I396" s="25"/>
      <c r="J396" s="25"/>
      <c r="K396" s="25"/>
      <c r="L396" s="25"/>
      <c r="M396" s="25"/>
      <c r="N396" s="25"/>
    </row>
    <row r="397" spans="4:14">
      <c r="D397" s="9"/>
      <c r="E397" s="25"/>
      <c r="F397" s="25"/>
      <c r="G397" s="25"/>
      <c r="H397" s="319"/>
      <c r="I397" s="25"/>
      <c r="J397" s="25"/>
      <c r="K397" s="25"/>
      <c r="L397" s="25"/>
      <c r="M397" s="25"/>
      <c r="N397" s="25"/>
    </row>
    <row r="398" spans="4:14">
      <c r="D398" s="9"/>
      <c r="E398" s="25"/>
      <c r="F398" s="25"/>
      <c r="G398" s="25"/>
      <c r="H398" s="319"/>
      <c r="I398" s="25"/>
      <c r="J398" s="25"/>
      <c r="K398" s="25"/>
      <c r="L398" s="25"/>
      <c r="M398" s="25"/>
      <c r="N398" s="25"/>
    </row>
    <row r="399" spans="4:14">
      <c r="D399" s="9"/>
      <c r="E399" s="25"/>
      <c r="F399" s="25"/>
      <c r="G399" s="25"/>
      <c r="H399" s="319"/>
      <c r="I399" s="25"/>
      <c r="J399" s="25"/>
      <c r="K399" s="25"/>
      <c r="L399" s="25"/>
      <c r="M399" s="25"/>
      <c r="N399" s="25"/>
    </row>
    <row r="400" spans="4:14">
      <c r="D400" s="9"/>
      <c r="E400" s="25"/>
      <c r="F400" s="25"/>
      <c r="G400" s="25"/>
      <c r="H400" s="319"/>
      <c r="I400" s="25"/>
      <c r="J400" s="25"/>
      <c r="K400" s="25"/>
      <c r="L400" s="25"/>
      <c r="M400" s="25"/>
      <c r="N400" s="25"/>
    </row>
    <row r="401" spans="4:14">
      <c r="D401" s="9"/>
      <c r="E401" s="25"/>
      <c r="F401" s="25"/>
      <c r="G401" s="25"/>
      <c r="H401" s="319"/>
      <c r="I401" s="25"/>
      <c r="J401" s="25"/>
      <c r="K401" s="25"/>
      <c r="L401" s="25"/>
      <c r="M401" s="25"/>
      <c r="N401" s="25"/>
    </row>
    <row r="402" spans="4:14">
      <c r="D402" s="9"/>
      <c r="E402" s="25"/>
      <c r="F402" s="25"/>
      <c r="G402" s="25"/>
      <c r="H402" s="319"/>
      <c r="I402" s="25"/>
      <c r="J402" s="25"/>
      <c r="K402" s="25"/>
      <c r="L402" s="25"/>
      <c r="M402" s="25"/>
      <c r="N402" s="25"/>
    </row>
    <row r="403" spans="4:14">
      <c r="D403" s="9"/>
      <c r="E403" s="25"/>
      <c r="F403" s="25"/>
      <c r="G403" s="25"/>
      <c r="H403" s="319"/>
      <c r="I403" s="25"/>
      <c r="J403" s="25"/>
      <c r="K403" s="25"/>
      <c r="L403" s="25"/>
      <c r="M403" s="25"/>
      <c r="N403" s="25"/>
    </row>
    <row r="404" spans="4:14">
      <c r="D404" s="9"/>
      <c r="E404" s="25"/>
      <c r="F404" s="25"/>
      <c r="G404" s="25"/>
      <c r="H404" s="319"/>
      <c r="I404" s="25"/>
      <c r="J404" s="25"/>
      <c r="K404" s="25"/>
      <c r="L404" s="25"/>
      <c r="M404" s="25"/>
      <c r="N404" s="25"/>
    </row>
    <row r="405" spans="4:14">
      <c r="D405" s="9"/>
      <c r="E405" s="25"/>
      <c r="F405" s="25"/>
      <c r="G405" s="25"/>
      <c r="H405" s="319"/>
      <c r="I405" s="25"/>
      <c r="J405" s="25"/>
      <c r="K405" s="25"/>
      <c r="L405" s="25"/>
      <c r="M405" s="25"/>
      <c r="N405" s="25"/>
    </row>
    <row r="406" spans="4:14">
      <c r="D406" s="9"/>
      <c r="E406" s="25"/>
      <c r="F406" s="25"/>
      <c r="G406" s="25"/>
      <c r="H406" s="319"/>
      <c r="I406" s="25"/>
      <c r="J406" s="25"/>
      <c r="K406" s="25"/>
      <c r="L406" s="25"/>
      <c r="M406" s="25"/>
      <c r="N406" s="25"/>
    </row>
    <row r="407" spans="4:14">
      <c r="D407" s="9"/>
      <c r="E407" s="25"/>
      <c r="F407" s="25"/>
      <c r="G407" s="25"/>
      <c r="H407" s="319"/>
      <c r="I407" s="25"/>
      <c r="J407" s="25"/>
      <c r="K407" s="25"/>
      <c r="L407" s="25"/>
      <c r="M407" s="25"/>
      <c r="N407" s="25"/>
    </row>
    <row r="408" spans="4:14">
      <c r="D408" s="9"/>
      <c r="E408" s="25"/>
      <c r="F408" s="25"/>
      <c r="G408" s="25"/>
      <c r="H408" s="319"/>
      <c r="I408" s="25"/>
      <c r="J408" s="25"/>
      <c r="K408" s="25"/>
      <c r="L408" s="25"/>
      <c r="M408" s="25"/>
      <c r="N408" s="25"/>
    </row>
    <row r="409" spans="4:14">
      <c r="D409" s="9"/>
      <c r="E409" s="25"/>
      <c r="F409" s="25"/>
      <c r="G409" s="25"/>
      <c r="H409" s="319"/>
      <c r="I409" s="25"/>
      <c r="J409" s="25"/>
      <c r="K409" s="25"/>
      <c r="L409" s="25"/>
      <c r="M409" s="25"/>
      <c r="N409" s="25"/>
    </row>
    <row r="410" spans="4:14">
      <c r="D410" s="9"/>
      <c r="E410" s="25"/>
      <c r="F410" s="25"/>
      <c r="G410" s="25"/>
      <c r="H410" s="319"/>
      <c r="I410" s="25"/>
      <c r="J410" s="25"/>
      <c r="K410" s="25"/>
      <c r="L410" s="25"/>
      <c r="M410" s="25"/>
      <c r="N410" s="25"/>
    </row>
    <row r="411" spans="4:14">
      <c r="D411" s="9"/>
      <c r="E411" s="25"/>
      <c r="F411" s="25"/>
      <c r="G411" s="25"/>
      <c r="H411" s="319"/>
      <c r="I411" s="25"/>
      <c r="J411" s="25"/>
      <c r="K411" s="25"/>
      <c r="L411" s="25"/>
      <c r="M411" s="25"/>
      <c r="N411" s="25"/>
    </row>
    <row r="412" spans="4:14">
      <c r="D412" s="9"/>
      <c r="E412" s="25"/>
      <c r="F412" s="25"/>
      <c r="G412" s="25"/>
      <c r="H412" s="319"/>
      <c r="I412" s="25"/>
      <c r="J412" s="25"/>
      <c r="K412" s="25"/>
      <c r="L412" s="25"/>
      <c r="M412" s="25"/>
      <c r="N412" s="25"/>
    </row>
    <row r="413" spans="4:14">
      <c r="D413" s="9"/>
      <c r="E413" s="25"/>
      <c r="F413" s="25"/>
      <c r="G413" s="25"/>
      <c r="H413" s="319"/>
      <c r="I413" s="25"/>
      <c r="J413" s="25"/>
      <c r="K413" s="25"/>
      <c r="L413" s="25"/>
      <c r="M413" s="25"/>
      <c r="N413" s="25"/>
    </row>
    <row r="414" spans="4:14">
      <c r="D414" s="9"/>
      <c r="E414" s="25"/>
      <c r="F414" s="25"/>
      <c r="G414" s="25"/>
      <c r="H414" s="319"/>
      <c r="I414" s="25"/>
      <c r="J414" s="25"/>
      <c r="K414" s="25"/>
      <c r="L414" s="25"/>
      <c r="M414" s="25"/>
      <c r="N414" s="25"/>
    </row>
    <row r="415" spans="4:14">
      <c r="D415" s="9"/>
      <c r="E415" s="25"/>
      <c r="F415" s="25"/>
      <c r="G415" s="25"/>
      <c r="H415" s="319"/>
      <c r="I415" s="25"/>
      <c r="J415" s="25"/>
      <c r="K415" s="25"/>
      <c r="L415" s="25"/>
      <c r="M415" s="25"/>
      <c r="N415" s="25"/>
    </row>
    <row r="416" spans="4:14">
      <c r="D416" s="9"/>
      <c r="E416" s="25"/>
      <c r="F416" s="25"/>
      <c r="G416" s="25"/>
      <c r="H416" s="319"/>
      <c r="I416" s="25"/>
      <c r="J416" s="25"/>
      <c r="K416" s="25"/>
      <c r="L416" s="25"/>
      <c r="M416" s="25"/>
      <c r="N416" s="25"/>
    </row>
    <row r="417" spans="4:14">
      <c r="D417" s="9"/>
      <c r="E417" s="25"/>
      <c r="F417" s="25"/>
      <c r="G417" s="25"/>
      <c r="H417" s="319"/>
      <c r="I417" s="25"/>
      <c r="J417" s="25"/>
      <c r="K417" s="25"/>
      <c r="L417" s="25"/>
      <c r="M417" s="25"/>
      <c r="N417" s="25"/>
    </row>
    <row r="418" spans="4:14">
      <c r="D418" s="9"/>
      <c r="E418" s="25"/>
      <c r="F418" s="25"/>
      <c r="G418" s="25"/>
      <c r="H418" s="319"/>
      <c r="I418" s="25"/>
      <c r="J418" s="25"/>
      <c r="K418" s="25"/>
      <c r="L418" s="25"/>
      <c r="M418" s="25"/>
      <c r="N418" s="25"/>
    </row>
    <row r="419" spans="4:14">
      <c r="D419" s="9"/>
      <c r="E419" s="25"/>
      <c r="F419" s="25"/>
      <c r="G419" s="25"/>
      <c r="H419" s="319"/>
      <c r="I419" s="25"/>
      <c r="J419" s="25"/>
      <c r="K419" s="25"/>
      <c r="L419" s="25"/>
      <c r="M419" s="25"/>
      <c r="N419" s="25"/>
    </row>
    <row r="420" spans="4:14">
      <c r="D420" s="9"/>
      <c r="E420" s="25"/>
      <c r="F420" s="25"/>
      <c r="G420" s="25"/>
      <c r="H420" s="319"/>
      <c r="I420" s="25"/>
      <c r="J420" s="25"/>
      <c r="K420" s="25"/>
      <c r="L420" s="25"/>
      <c r="M420" s="25"/>
      <c r="N420" s="25"/>
    </row>
    <row r="421" spans="4:14">
      <c r="D421" s="9"/>
      <c r="E421" s="25"/>
      <c r="F421" s="25"/>
      <c r="G421" s="25"/>
      <c r="H421" s="319"/>
      <c r="I421" s="25"/>
      <c r="J421" s="25"/>
      <c r="K421" s="25"/>
      <c r="L421" s="25"/>
      <c r="M421" s="25"/>
      <c r="N421" s="25"/>
    </row>
    <row r="422" spans="4:14">
      <c r="D422" s="9"/>
      <c r="E422" s="25"/>
      <c r="F422" s="25"/>
      <c r="G422" s="25"/>
      <c r="H422" s="319"/>
      <c r="I422" s="25"/>
      <c r="J422" s="25"/>
      <c r="K422" s="25"/>
      <c r="L422" s="25"/>
      <c r="M422" s="25"/>
      <c r="N422" s="25"/>
    </row>
    <row r="423" spans="4:14">
      <c r="D423" s="9"/>
      <c r="E423" s="25"/>
      <c r="F423" s="25"/>
      <c r="G423" s="25"/>
      <c r="H423" s="319"/>
      <c r="I423" s="25"/>
      <c r="J423" s="25"/>
      <c r="K423" s="25"/>
      <c r="L423" s="25"/>
      <c r="M423" s="25"/>
      <c r="N423" s="25"/>
    </row>
    <row r="424" spans="4:14">
      <c r="D424" s="9"/>
      <c r="E424" s="25"/>
      <c r="F424" s="25"/>
      <c r="G424" s="25"/>
      <c r="H424" s="319"/>
      <c r="I424" s="25"/>
      <c r="J424" s="25"/>
      <c r="K424" s="25"/>
      <c r="L424" s="25"/>
      <c r="M424" s="25"/>
      <c r="N424" s="25"/>
    </row>
    <row r="425" spans="4:14">
      <c r="D425" s="9"/>
      <c r="E425" s="25"/>
      <c r="F425" s="25"/>
      <c r="G425" s="25"/>
      <c r="H425" s="319"/>
      <c r="I425" s="25"/>
      <c r="J425" s="25"/>
      <c r="K425" s="25"/>
      <c r="L425" s="25"/>
      <c r="M425" s="25"/>
      <c r="N425" s="25"/>
    </row>
    <row r="426" spans="4:14">
      <c r="D426" s="9"/>
      <c r="E426" s="25"/>
      <c r="F426" s="25"/>
      <c r="G426" s="25"/>
      <c r="H426" s="319"/>
      <c r="I426" s="25"/>
      <c r="J426" s="25"/>
      <c r="K426" s="25"/>
      <c r="L426" s="25"/>
      <c r="M426" s="25"/>
      <c r="N426" s="25"/>
    </row>
    <row r="427" spans="4:14">
      <c r="D427" s="9"/>
      <c r="E427" s="25"/>
      <c r="F427" s="25"/>
      <c r="G427" s="25"/>
      <c r="H427" s="319"/>
      <c r="I427" s="25"/>
      <c r="J427" s="25"/>
      <c r="K427" s="25"/>
      <c r="L427" s="25"/>
      <c r="M427" s="25"/>
      <c r="N427" s="25"/>
    </row>
    <row r="428" spans="4:14">
      <c r="D428" s="9"/>
      <c r="E428" s="25"/>
      <c r="F428" s="25"/>
      <c r="G428" s="25"/>
      <c r="H428" s="319"/>
      <c r="I428" s="25"/>
      <c r="J428" s="25"/>
      <c r="K428" s="25"/>
      <c r="L428" s="25"/>
      <c r="M428" s="25"/>
      <c r="N428" s="25"/>
    </row>
    <row r="429" spans="4:14">
      <c r="D429" s="9"/>
      <c r="E429" s="25"/>
      <c r="F429" s="25"/>
      <c r="G429" s="25"/>
      <c r="H429" s="319"/>
      <c r="I429" s="25"/>
      <c r="J429" s="25"/>
      <c r="K429" s="25"/>
      <c r="L429" s="25"/>
      <c r="M429" s="25"/>
      <c r="N429" s="25"/>
    </row>
    <row r="430" spans="4:14">
      <c r="D430" s="9"/>
      <c r="E430" s="25"/>
      <c r="F430" s="25"/>
      <c r="G430" s="25"/>
      <c r="H430" s="319"/>
      <c r="I430" s="25"/>
      <c r="J430" s="25"/>
      <c r="K430" s="25"/>
      <c r="L430" s="25"/>
      <c r="M430" s="25"/>
      <c r="N430" s="25"/>
    </row>
    <row r="431" spans="4:14">
      <c r="D431" s="9"/>
      <c r="E431" s="25"/>
      <c r="F431" s="25"/>
      <c r="G431" s="25"/>
      <c r="H431" s="319"/>
      <c r="I431" s="25"/>
      <c r="J431" s="25"/>
      <c r="K431" s="25"/>
      <c r="L431" s="25"/>
      <c r="M431" s="25"/>
      <c r="N431" s="25"/>
    </row>
    <row r="432" spans="4:14">
      <c r="D432" s="9"/>
      <c r="E432" s="25"/>
      <c r="F432" s="25"/>
      <c r="G432" s="25"/>
      <c r="H432" s="319"/>
      <c r="I432" s="25"/>
      <c r="J432" s="25"/>
      <c r="K432" s="25"/>
      <c r="L432" s="25"/>
      <c r="M432" s="25"/>
      <c r="N432" s="25"/>
    </row>
    <row r="433" spans="4:14">
      <c r="D433" s="9"/>
      <c r="E433" s="25"/>
      <c r="F433" s="25"/>
      <c r="G433" s="25"/>
      <c r="H433" s="319"/>
      <c r="I433" s="25"/>
      <c r="J433" s="25"/>
      <c r="K433" s="25"/>
      <c r="L433" s="25"/>
      <c r="M433" s="25"/>
      <c r="N433" s="25"/>
    </row>
    <row r="434" spans="4:14">
      <c r="D434" s="9"/>
      <c r="E434" s="25"/>
      <c r="F434" s="25"/>
      <c r="G434" s="25"/>
      <c r="H434" s="319"/>
      <c r="I434" s="25"/>
      <c r="J434" s="25"/>
      <c r="K434" s="25"/>
      <c r="L434" s="25"/>
      <c r="M434" s="25"/>
      <c r="N434" s="25"/>
    </row>
    <row r="435" spans="4:14">
      <c r="D435" s="9"/>
      <c r="E435" s="25"/>
      <c r="F435" s="25"/>
      <c r="G435" s="25"/>
      <c r="H435" s="319"/>
      <c r="I435" s="25"/>
      <c r="J435" s="25"/>
      <c r="K435" s="25"/>
      <c r="L435" s="25"/>
      <c r="M435" s="25"/>
      <c r="N435" s="25"/>
    </row>
    <row r="436" spans="4:14">
      <c r="D436" s="9"/>
      <c r="E436" s="25"/>
      <c r="F436" s="25"/>
      <c r="G436" s="25"/>
      <c r="H436" s="319"/>
      <c r="I436" s="25"/>
      <c r="J436" s="25"/>
      <c r="K436" s="25"/>
      <c r="L436" s="25"/>
      <c r="M436" s="25"/>
      <c r="N436" s="25"/>
    </row>
    <row r="437" spans="4:14">
      <c r="D437" s="9"/>
      <c r="E437" s="25"/>
      <c r="F437" s="25"/>
      <c r="G437" s="25"/>
      <c r="H437" s="319"/>
      <c r="I437" s="25"/>
      <c r="J437" s="25"/>
      <c r="K437" s="25"/>
      <c r="L437" s="25"/>
      <c r="M437" s="25"/>
      <c r="N437" s="25"/>
    </row>
    <row r="438" spans="4:14">
      <c r="D438" s="9"/>
      <c r="E438" s="25"/>
      <c r="F438" s="25"/>
      <c r="G438" s="25"/>
      <c r="H438" s="319"/>
      <c r="I438" s="25"/>
      <c r="J438" s="25"/>
      <c r="K438" s="25"/>
      <c r="L438" s="25"/>
      <c r="M438" s="25"/>
      <c r="N438" s="25"/>
    </row>
    <row r="439" spans="4:14">
      <c r="D439" s="9"/>
      <c r="E439" s="25"/>
      <c r="F439" s="25"/>
      <c r="G439" s="25"/>
      <c r="H439" s="319"/>
      <c r="I439" s="25"/>
      <c r="J439" s="25"/>
      <c r="K439" s="25"/>
      <c r="L439" s="25"/>
      <c r="M439" s="25"/>
      <c r="N439" s="25"/>
    </row>
    <row r="440" spans="4:14">
      <c r="D440" s="9"/>
      <c r="E440" s="25"/>
      <c r="F440" s="25"/>
      <c r="G440" s="25"/>
      <c r="H440" s="319"/>
      <c r="I440" s="25"/>
      <c r="J440" s="25"/>
      <c r="K440" s="25"/>
      <c r="L440" s="25"/>
      <c r="M440" s="25"/>
      <c r="N440" s="25"/>
    </row>
    <row r="441" spans="4:14">
      <c r="D441" s="9"/>
      <c r="E441" s="25"/>
      <c r="F441" s="25"/>
      <c r="G441" s="25"/>
      <c r="H441" s="319"/>
      <c r="I441" s="25"/>
      <c r="J441" s="25"/>
      <c r="K441" s="25"/>
      <c r="L441" s="25"/>
      <c r="M441" s="25"/>
      <c r="N441" s="25"/>
    </row>
    <row r="442" spans="4:14">
      <c r="D442" s="9"/>
      <c r="E442" s="25"/>
      <c r="F442" s="25"/>
      <c r="G442" s="25"/>
      <c r="H442" s="319"/>
      <c r="I442" s="25"/>
      <c r="J442" s="25"/>
      <c r="K442" s="25"/>
      <c r="L442" s="25"/>
      <c r="M442" s="25"/>
      <c r="N442" s="25"/>
    </row>
    <row r="443" spans="4:14">
      <c r="D443" s="9"/>
      <c r="E443" s="25"/>
      <c r="F443" s="25"/>
      <c r="G443" s="25"/>
      <c r="H443" s="319"/>
      <c r="I443" s="25"/>
      <c r="J443" s="25"/>
      <c r="K443" s="25"/>
      <c r="L443" s="25"/>
      <c r="M443" s="25"/>
      <c r="N443" s="25"/>
    </row>
    <row r="444" spans="4:14">
      <c r="D444" s="9"/>
      <c r="E444" s="25"/>
      <c r="F444" s="25"/>
      <c r="G444" s="25"/>
      <c r="H444" s="319"/>
      <c r="I444" s="25"/>
      <c r="J444" s="25"/>
      <c r="K444" s="25"/>
      <c r="L444" s="25"/>
      <c r="M444" s="25"/>
      <c r="N444" s="25"/>
    </row>
    <row r="445" spans="4:14">
      <c r="D445" s="9"/>
      <c r="E445" s="25"/>
      <c r="F445" s="25"/>
      <c r="G445" s="25"/>
      <c r="H445" s="319"/>
      <c r="I445" s="25"/>
      <c r="J445" s="25"/>
      <c r="K445" s="25"/>
      <c r="L445" s="25"/>
      <c r="M445" s="25"/>
      <c r="N445" s="25"/>
    </row>
    <row r="446" spans="4:14">
      <c r="D446" s="9"/>
      <c r="E446" s="25"/>
      <c r="F446" s="25"/>
      <c r="G446" s="25"/>
      <c r="H446" s="319"/>
      <c r="I446" s="25"/>
      <c r="J446" s="25"/>
      <c r="K446" s="25"/>
      <c r="L446" s="25"/>
      <c r="M446" s="25"/>
      <c r="N446" s="25"/>
    </row>
    <row r="447" spans="4:14">
      <c r="D447" s="9"/>
      <c r="E447" s="25"/>
      <c r="F447" s="25"/>
      <c r="G447" s="25"/>
      <c r="H447" s="319"/>
      <c r="I447" s="25"/>
      <c r="J447" s="25"/>
      <c r="K447" s="25"/>
      <c r="L447" s="25"/>
      <c r="M447" s="25"/>
      <c r="N447" s="25"/>
    </row>
    <row r="448" spans="4:14">
      <c r="D448" s="9"/>
      <c r="E448" s="25"/>
      <c r="F448" s="25"/>
      <c r="G448" s="25"/>
      <c r="H448" s="319"/>
      <c r="I448" s="25"/>
      <c r="J448" s="25"/>
      <c r="K448" s="25"/>
      <c r="L448" s="25"/>
      <c r="M448" s="25"/>
      <c r="N448" s="25"/>
    </row>
    <row r="449" spans="4:14">
      <c r="D449" s="9"/>
      <c r="E449" s="25"/>
      <c r="F449" s="25"/>
      <c r="G449" s="25"/>
      <c r="H449" s="319"/>
      <c r="I449" s="25"/>
      <c r="J449" s="25"/>
      <c r="K449" s="25"/>
      <c r="L449" s="25"/>
      <c r="M449" s="25"/>
      <c r="N449" s="25"/>
    </row>
    <row r="450" spans="4:14">
      <c r="D450" s="9"/>
      <c r="E450" s="25"/>
      <c r="F450" s="25"/>
      <c r="G450" s="25"/>
      <c r="H450" s="319"/>
      <c r="I450" s="25"/>
      <c r="J450" s="25"/>
      <c r="K450" s="25"/>
      <c r="L450" s="25"/>
      <c r="M450" s="25"/>
      <c r="N450" s="25"/>
    </row>
    <row r="451" spans="4:14">
      <c r="D451" s="9"/>
      <c r="E451" s="25"/>
      <c r="F451" s="25"/>
      <c r="G451" s="25"/>
      <c r="H451" s="319"/>
      <c r="I451" s="25"/>
      <c r="J451" s="25"/>
      <c r="K451" s="25"/>
      <c r="L451" s="25"/>
      <c r="M451" s="25"/>
      <c r="N451" s="25"/>
    </row>
    <row r="452" spans="4:14">
      <c r="D452" s="9"/>
      <c r="E452" s="25"/>
      <c r="F452" s="25"/>
      <c r="G452" s="25"/>
      <c r="H452" s="319"/>
      <c r="I452" s="25"/>
      <c r="J452" s="25"/>
      <c r="K452" s="25"/>
      <c r="L452" s="25"/>
      <c r="M452" s="25"/>
      <c r="N452" s="25"/>
    </row>
    <row r="453" spans="4:14">
      <c r="D453" s="9"/>
      <c r="E453" s="25"/>
      <c r="F453" s="25"/>
      <c r="G453" s="25"/>
      <c r="H453" s="319"/>
      <c r="I453" s="25"/>
      <c r="J453" s="25"/>
      <c r="K453" s="25"/>
      <c r="L453" s="25"/>
      <c r="M453" s="25"/>
      <c r="N453" s="25"/>
    </row>
    <row r="454" spans="4:14">
      <c r="D454" s="9"/>
      <c r="E454" s="25"/>
      <c r="F454" s="25"/>
      <c r="G454" s="25"/>
      <c r="H454" s="319"/>
      <c r="I454" s="25"/>
      <c r="J454" s="25"/>
      <c r="K454" s="25"/>
      <c r="L454" s="25"/>
      <c r="M454" s="25"/>
      <c r="N454" s="25"/>
    </row>
    <row r="455" spans="4:14">
      <c r="D455" s="9"/>
      <c r="E455" s="25"/>
      <c r="F455" s="25"/>
      <c r="G455" s="25"/>
      <c r="H455" s="319"/>
      <c r="I455" s="25"/>
      <c r="J455" s="25"/>
      <c r="K455" s="25"/>
      <c r="L455" s="25"/>
      <c r="M455" s="25"/>
      <c r="N455" s="25"/>
    </row>
    <row r="456" spans="4:14">
      <c r="D456" s="9"/>
      <c r="E456" s="25"/>
      <c r="F456" s="25"/>
      <c r="G456" s="25"/>
      <c r="H456" s="319"/>
      <c r="I456" s="25"/>
      <c r="J456" s="25"/>
      <c r="K456" s="25"/>
      <c r="L456" s="25"/>
      <c r="M456" s="25"/>
      <c r="N456" s="25"/>
    </row>
    <row r="457" spans="4:14">
      <c r="D457" s="9"/>
      <c r="E457" s="25"/>
      <c r="F457" s="25"/>
      <c r="G457" s="25"/>
      <c r="H457" s="319"/>
      <c r="I457" s="25"/>
      <c r="J457" s="25"/>
      <c r="K457" s="25"/>
      <c r="L457" s="25"/>
      <c r="M457" s="25"/>
      <c r="N457" s="25"/>
    </row>
    <row r="458" spans="4:14">
      <c r="D458" s="9"/>
      <c r="E458" s="25"/>
      <c r="F458" s="25"/>
      <c r="G458" s="25"/>
      <c r="H458" s="319"/>
      <c r="I458" s="25"/>
      <c r="J458" s="25"/>
      <c r="K458" s="25"/>
      <c r="L458" s="25"/>
      <c r="M458" s="25"/>
      <c r="N458" s="25"/>
    </row>
    <row r="459" spans="4:14">
      <c r="D459" s="9"/>
      <c r="E459" s="25"/>
      <c r="F459" s="25"/>
      <c r="G459" s="25"/>
      <c r="H459" s="319"/>
      <c r="I459" s="25"/>
      <c r="J459" s="25"/>
      <c r="K459" s="25"/>
      <c r="L459" s="25"/>
      <c r="M459" s="25"/>
      <c r="N459" s="25"/>
    </row>
    <row r="460" spans="4:14">
      <c r="D460" s="9"/>
      <c r="E460" s="25"/>
      <c r="F460" s="25"/>
      <c r="G460" s="25"/>
      <c r="H460" s="319"/>
      <c r="I460" s="25"/>
      <c r="J460" s="25"/>
      <c r="K460" s="25"/>
      <c r="L460" s="25"/>
      <c r="M460" s="25"/>
      <c r="N460" s="25"/>
    </row>
    <row r="461" spans="4:14">
      <c r="D461" s="9"/>
      <c r="E461" s="25"/>
      <c r="F461" s="25"/>
      <c r="G461" s="25"/>
      <c r="H461" s="319"/>
      <c r="I461" s="25"/>
      <c r="J461" s="25"/>
      <c r="K461" s="25"/>
      <c r="L461" s="25"/>
      <c r="M461" s="25"/>
      <c r="N461" s="25"/>
    </row>
    <row r="462" spans="4:14">
      <c r="D462" s="9"/>
      <c r="E462" s="25"/>
      <c r="F462" s="25"/>
      <c r="G462" s="25"/>
      <c r="H462" s="319"/>
      <c r="I462" s="25"/>
      <c r="J462" s="25"/>
      <c r="K462" s="25"/>
      <c r="L462" s="25"/>
      <c r="M462" s="25"/>
      <c r="N462" s="25"/>
    </row>
    <row r="463" spans="4:14">
      <c r="D463" s="9"/>
      <c r="E463" s="25"/>
      <c r="F463" s="25"/>
      <c r="G463" s="25"/>
      <c r="H463" s="319"/>
      <c r="I463" s="25"/>
      <c r="J463" s="25"/>
      <c r="K463" s="25"/>
      <c r="L463" s="25"/>
      <c r="M463" s="25"/>
      <c r="N463" s="25"/>
    </row>
    <row r="464" spans="4:14">
      <c r="D464" s="9"/>
      <c r="E464" s="25"/>
      <c r="F464" s="25"/>
      <c r="G464" s="25"/>
      <c r="H464" s="319"/>
      <c r="I464" s="25"/>
      <c r="J464" s="25"/>
      <c r="K464" s="25"/>
      <c r="L464" s="25"/>
      <c r="M464" s="25"/>
      <c r="N464" s="25"/>
    </row>
    <row r="465" spans="4:14">
      <c r="D465" s="9"/>
      <c r="E465" s="25"/>
      <c r="F465" s="25"/>
      <c r="G465" s="25"/>
      <c r="H465" s="319"/>
      <c r="I465" s="25"/>
      <c r="J465" s="25"/>
      <c r="K465" s="25"/>
      <c r="L465" s="25"/>
      <c r="M465" s="25"/>
      <c r="N465" s="25"/>
    </row>
    <row r="466" spans="4:14">
      <c r="D466" s="9"/>
      <c r="E466" s="25"/>
      <c r="F466" s="25"/>
      <c r="G466" s="25"/>
      <c r="H466" s="319"/>
      <c r="I466" s="25"/>
      <c r="J466" s="25"/>
      <c r="K466" s="25"/>
      <c r="L466" s="25"/>
      <c r="M466" s="25"/>
      <c r="N466" s="25"/>
    </row>
    <row r="467" spans="4:14">
      <c r="D467" s="9"/>
      <c r="E467" s="25"/>
      <c r="F467" s="25"/>
      <c r="G467" s="25"/>
      <c r="H467" s="319"/>
      <c r="I467" s="25"/>
      <c r="J467" s="25"/>
      <c r="K467" s="25"/>
      <c r="L467" s="25"/>
      <c r="M467" s="25"/>
      <c r="N467" s="25"/>
    </row>
    <row r="468" spans="4:14">
      <c r="D468" s="9"/>
      <c r="E468" s="25"/>
      <c r="F468" s="25"/>
      <c r="G468" s="25"/>
      <c r="H468" s="319"/>
      <c r="I468" s="25"/>
      <c r="J468" s="25"/>
      <c r="K468" s="25"/>
      <c r="L468" s="25"/>
      <c r="M468" s="25"/>
      <c r="N468" s="25"/>
    </row>
    <row r="469" spans="4:14">
      <c r="D469" s="9"/>
      <c r="E469" s="25"/>
      <c r="F469" s="25"/>
      <c r="G469" s="25"/>
      <c r="H469" s="319"/>
      <c r="I469" s="25"/>
      <c r="J469" s="25"/>
      <c r="K469" s="25"/>
      <c r="L469" s="25"/>
      <c r="M469" s="25"/>
      <c r="N469" s="25"/>
    </row>
    <row r="470" spans="4:14">
      <c r="D470" s="9"/>
      <c r="E470" s="25"/>
      <c r="F470" s="25"/>
      <c r="G470" s="25"/>
      <c r="H470" s="319"/>
      <c r="I470" s="25"/>
      <c r="J470" s="25"/>
      <c r="K470" s="25"/>
      <c r="L470" s="25"/>
      <c r="M470" s="25"/>
      <c r="N470" s="25"/>
    </row>
    <row r="471" spans="4:14">
      <c r="D471" s="9"/>
      <c r="E471" s="25"/>
      <c r="F471" s="25"/>
      <c r="G471" s="25"/>
      <c r="H471" s="319"/>
      <c r="I471" s="25"/>
      <c r="J471" s="25"/>
      <c r="K471" s="25"/>
      <c r="L471" s="25"/>
      <c r="M471" s="25"/>
      <c r="N471" s="25"/>
    </row>
    <row r="472" spans="4:14">
      <c r="D472" s="9"/>
      <c r="E472" s="25"/>
      <c r="F472" s="25"/>
      <c r="G472" s="25"/>
      <c r="H472" s="319"/>
      <c r="I472" s="25"/>
      <c r="J472" s="25"/>
      <c r="K472" s="25"/>
      <c r="L472" s="25"/>
      <c r="M472" s="25"/>
      <c r="N472" s="25"/>
    </row>
    <row r="473" spans="4:14">
      <c r="D473" s="9"/>
      <c r="E473" s="25"/>
      <c r="F473" s="25"/>
      <c r="G473" s="25"/>
      <c r="H473" s="319"/>
      <c r="I473" s="25"/>
      <c r="J473" s="25"/>
      <c r="K473" s="25"/>
      <c r="L473" s="25"/>
      <c r="M473" s="25"/>
      <c r="N473" s="25"/>
    </row>
    <row r="474" spans="4:14">
      <c r="D474" s="9"/>
      <c r="E474" s="25"/>
      <c r="F474" s="25"/>
      <c r="G474" s="25"/>
      <c r="H474" s="319"/>
      <c r="I474" s="25"/>
      <c r="J474" s="25"/>
      <c r="K474" s="25"/>
      <c r="L474" s="25"/>
      <c r="M474" s="25"/>
      <c r="N474" s="25"/>
    </row>
    <row r="475" spans="4:14">
      <c r="D475" s="9"/>
      <c r="E475" s="25"/>
      <c r="F475" s="25"/>
      <c r="G475" s="25"/>
      <c r="H475" s="319"/>
      <c r="I475" s="25"/>
      <c r="J475" s="25"/>
      <c r="K475" s="25"/>
      <c r="L475" s="25"/>
      <c r="M475" s="25"/>
      <c r="N475" s="25"/>
    </row>
    <row r="476" spans="4:14">
      <c r="D476" s="9"/>
      <c r="E476" s="25"/>
      <c r="F476" s="25"/>
      <c r="G476" s="25"/>
      <c r="H476" s="319"/>
      <c r="I476" s="25"/>
      <c r="J476" s="25"/>
      <c r="K476" s="25"/>
      <c r="L476" s="25"/>
      <c r="M476" s="25"/>
      <c r="N476" s="25"/>
    </row>
    <row r="477" spans="4:14">
      <c r="D477" s="9"/>
      <c r="E477" s="25"/>
      <c r="F477" s="25"/>
      <c r="G477" s="25"/>
      <c r="H477" s="319"/>
      <c r="I477" s="25"/>
      <c r="J477" s="25"/>
      <c r="K477" s="25"/>
      <c r="L477" s="25"/>
      <c r="M477" s="25"/>
      <c r="N477" s="25"/>
    </row>
    <row r="478" spans="4:14">
      <c r="D478" s="9"/>
      <c r="E478" s="25"/>
      <c r="F478" s="25"/>
      <c r="G478" s="25"/>
      <c r="H478" s="319"/>
      <c r="I478" s="25"/>
      <c r="J478" s="25"/>
      <c r="K478" s="25"/>
      <c r="L478" s="25"/>
      <c r="M478" s="25"/>
      <c r="N478" s="25"/>
    </row>
    <row r="479" spans="4:14">
      <c r="D479" s="9"/>
      <c r="E479" s="25"/>
      <c r="F479" s="25"/>
      <c r="G479" s="25"/>
      <c r="H479" s="319"/>
      <c r="I479" s="25"/>
      <c r="J479" s="25"/>
      <c r="K479" s="25"/>
      <c r="L479" s="25"/>
      <c r="M479" s="25"/>
      <c r="N479" s="25"/>
    </row>
    <row r="480" spans="4:14">
      <c r="D480" s="9"/>
      <c r="E480" s="25"/>
      <c r="F480" s="25"/>
      <c r="G480" s="25"/>
      <c r="H480" s="319"/>
      <c r="I480" s="25"/>
      <c r="J480" s="25"/>
      <c r="K480" s="25"/>
      <c r="L480" s="25"/>
      <c r="M480" s="25"/>
      <c r="N480" s="25"/>
    </row>
    <row r="481" spans="4:14">
      <c r="D481" s="9"/>
      <c r="E481" s="25"/>
      <c r="F481" s="25"/>
      <c r="G481" s="25"/>
      <c r="H481" s="319"/>
      <c r="I481" s="25"/>
      <c r="J481" s="25"/>
      <c r="K481" s="25"/>
      <c r="L481" s="25"/>
      <c r="M481" s="25"/>
      <c r="N481" s="25"/>
    </row>
    <row r="482" spans="4:14">
      <c r="D482" s="9"/>
      <c r="E482" s="25"/>
      <c r="F482" s="25"/>
      <c r="G482" s="25"/>
      <c r="H482" s="319"/>
      <c r="I482" s="25"/>
      <c r="J482" s="25"/>
      <c r="K482" s="25"/>
      <c r="L482" s="25"/>
      <c r="M482" s="25"/>
      <c r="N482" s="25"/>
    </row>
    <row r="483" spans="4:14">
      <c r="D483" s="9"/>
      <c r="E483" s="25"/>
      <c r="F483" s="25"/>
      <c r="G483" s="25"/>
      <c r="H483" s="319"/>
      <c r="I483" s="25"/>
      <c r="J483" s="25"/>
      <c r="K483" s="25"/>
      <c r="L483" s="25"/>
      <c r="M483" s="25"/>
      <c r="N483" s="25"/>
    </row>
    <row r="484" spans="4:14">
      <c r="D484" s="9"/>
      <c r="E484" s="25"/>
      <c r="F484" s="25"/>
      <c r="G484" s="25"/>
      <c r="H484" s="319"/>
      <c r="I484" s="25"/>
      <c r="J484" s="25"/>
      <c r="K484" s="25"/>
      <c r="L484" s="25"/>
      <c r="M484" s="25"/>
      <c r="N484" s="25"/>
    </row>
    <row r="485" spans="4:14">
      <c r="D485" s="9"/>
      <c r="E485" s="25"/>
      <c r="F485" s="25"/>
      <c r="G485" s="25"/>
      <c r="H485" s="319"/>
      <c r="I485" s="25"/>
      <c r="J485" s="25"/>
      <c r="K485" s="25"/>
      <c r="L485" s="25"/>
      <c r="M485" s="25"/>
      <c r="N485" s="25"/>
    </row>
    <row r="486" spans="4:14">
      <c r="D486" s="9"/>
      <c r="E486" s="25"/>
      <c r="F486" s="25"/>
      <c r="G486" s="25"/>
      <c r="H486" s="319"/>
      <c r="I486" s="25"/>
      <c r="J486" s="25"/>
      <c r="K486" s="25"/>
      <c r="L486" s="25"/>
      <c r="M486" s="25"/>
      <c r="N486" s="25"/>
    </row>
    <row r="487" spans="4:14">
      <c r="D487" s="9"/>
      <c r="E487" s="25"/>
      <c r="F487" s="25"/>
      <c r="G487" s="25"/>
      <c r="H487" s="319"/>
      <c r="I487" s="25"/>
      <c r="J487" s="25"/>
      <c r="K487" s="25"/>
      <c r="L487" s="25"/>
      <c r="M487" s="25"/>
      <c r="N487" s="25"/>
    </row>
    <row r="488" spans="4:14">
      <c r="D488" s="9"/>
      <c r="E488" s="25"/>
      <c r="F488" s="25"/>
      <c r="G488" s="25"/>
      <c r="H488" s="319"/>
      <c r="I488" s="25"/>
      <c r="J488" s="25"/>
      <c r="K488" s="25"/>
      <c r="L488" s="25"/>
      <c r="M488" s="25"/>
      <c r="N488" s="25"/>
    </row>
    <row r="489" spans="4:14">
      <c r="D489" s="9"/>
      <c r="E489" s="25"/>
      <c r="F489" s="25"/>
      <c r="G489" s="25"/>
      <c r="H489" s="319"/>
      <c r="I489" s="25"/>
      <c r="J489" s="25"/>
      <c r="K489" s="25"/>
      <c r="L489" s="25"/>
      <c r="M489" s="25"/>
      <c r="N489" s="25"/>
    </row>
    <row r="490" spans="4:14">
      <c r="D490" s="9"/>
      <c r="E490" s="25"/>
      <c r="F490" s="25"/>
      <c r="G490" s="25"/>
      <c r="H490" s="319"/>
      <c r="I490" s="25"/>
      <c r="J490" s="25"/>
      <c r="K490" s="25"/>
      <c r="L490" s="25"/>
      <c r="M490" s="25"/>
      <c r="N490" s="25"/>
    </row>
    <row r="491" spans="4:14">
      <c r="D491" s="9"/>
      <c r="E491" s="25"/>
      <c r="F491" s="25"/>
      <c r="G491" s="25"/>
      <c r="H491" s="319"/>
      <c r="I491" s="25"/>
      <c r="J491" s="25"/>
      <c r="K491" s="25"/>
      <c r="L491" s="25"/>
      <c r="M491" s="25"/>
      <c r="N491" s="25"/>
    </row>
    <row r="492" spans="4:14">
      <c r="D492" s="9"/>
      <c r="E492" s="25"/>
      <c r="F492" s="25"/>
      <c r="G492" s="25"/>
      <c r="H492" s="319"/>
      <c r="I492" s="25"/>
      <c r="J492" s="25"/>
      <c r="K492" s="25"/>
      <c r="L492" s="25"/>
      <c r="M492" s="25"/>
      <c r="N492" s="25"/>
    </row>
    <row r="493" spans="4:14">
      <c r="D493" s="9"/>
      <c r="E493" s="25"/>
      <c r="F493" s="25"/>
      <c r="G493" s="25"/>
      <c r="H493" s="319"/>
      <c r="I493" s="25"/>
      <c r="J493" s="25"/>
      <c r="K493" s="25"/>
      <c r="L493" s="25"/>
      <c r="M493" s="25"/>
      <c r="N493" s="25"/>
    </row>
    <row r="494" spans="4:14">
      <c r="D494" s="9"/>
      <c r="E494" s="25"/>
      <c r="F494" s="25"/>
      <c r="G494" s="25"/>
      <c r="H494" s="319"/>
      <c r="I494" s="25"/>
      <c r="J494" s="25"/>
      <c r="K494" s="25"/>
      <c r="L494" s="25"/>
      <c r="M494" s="25"/>
      <c r="N494" s="25"/>
    </row>
    <row r="495" spans="4:14">
      <c r="D495" s="9"/>
      <c r="E495" s="25"/>
      <c r="F495" s="25"/>
      <c r="G495" s="25"/>
      <c r="H495" s="319"/>
      <c r="I495" s="25"/>
      <c r="J495" s="25"/>
      <c r="K495" s="25"/>
      <c r="L495" s="25"/>
      <c r="M495" s="25"/>
      <c r="N495" s="25"/>
    </row>
    <row r="496" spans="4:14">
      <c r="D496" s="9"/>
      <c r="E496" s="25"/>
      <c r="F496" s="25"/>
      <c r="G496" s="25"/>
      <c r="H496" s="319"/>
      <c r="I496" s="25"/>
      <c r="J496" s="25"/>
      <c r="K496" s="25"/>
      <c r="L496" s="25"/>
      <c r="M496" s="25"/>
      <c r="N496" s="25"/>
    </row>
    <row r="497" spans="4:14">
      <c r="D497" s="9"/>
      <c r="E497" s="25"/>
      <c r="F497" s="25"/>
      <c r="G497" s="25"/>
      <c r="H497" s="319"/>
      <c r="I497" s="25"/>
      <c r="J497" s="25"/>
      <c r="K497" s="25"/>
      <c r="L497" s="25"/>
      <c r="M497" s="25"/>
      <c r="N497" s="25"/>
    </row>
    <row r="498" spans="4:14">
      <c r="D498" s="9"/>
      <c r="E498" s="25"/>
      <c r="F498" s="25"/>
      <c r="G498" s="25"/>
      <c r="H498" s="319"/>
      <c r="I498" s="25"/>
      <c r="J498" s="25"/>
      <c r="K498" s="25"/>
      <c r="L498" s="25"/>
      <c r="M498" s="25"/>
      <c r="N498" s="25"/>
    </row>
    <row r="499" spans="4:14">
      <c r="D499" s="9"/>
      <c r="E499" s="25"/>
      <c r="F499" s="25"/>
      <c r="G499" s="25"/>
      <c r="H499" s="319"/>
      <c r="I499" s="25"/>
      <c r="J499" s="25"/>
      <c r="K499" s="25"/>
      <c r="L499" s="25"/>
      <c r="M499" s="25"/>
      <c r="N499" s="25"/>
    </row>
    <row r="500" spans="4:14">
      <c r="D500" s="9"/>
      <c r="E500" s="25"/>
      <c r="F500" s="25"/>
      <c r="G500" s="25"/>
      <c r="H500" s="319"/>
      <c r="I500" s="25"/>
      <c r="J500" s="25"/>
      <c r="K500" s="25"/>
      <c r="L500" s="25"/>
      <c r="M500" s="25"/>
      <c r="N500" s="25"/>
    </row>
    <row r="501" spans="4:14">
      <c r="D501" s="9"/>
      <c r="E501" s="25"/>
      <c r="F501" s="25"/>
      <c r="G501" s="25"/>
      <c r="H501" s="319"/>
      <c r="I501" s="25"/>
      <c r="J501" s="25"/>
      <c r="K501" s="25"/>
      <c r="L501" s="25"/>
      <c r="M501" s="25"/>
      <c r="N501" s="25"/>
    </row>
    <row r="502" spans="4:14">
      <c r="D502" s="9"/>
      <c r="E502" s="25"/>
      <c r="F502" s="25"/>
      <c r="G502" s="25"/>
      <c r="H502" s="319"/>
      <c r="I502" s="25"/>
      <c r="J502" s="25"/>
      <c r="K502" s="25"/>
      <c r="L502" s="25"/>
      <c r="M502" s="25"/>
      <c r="N502" s="25"/>
    </row>
    <row r="503" spans="4:14">
      <c r="D503" s="9"/>
      <c r="E503" s="25"/>
      <c r="F503" s="25"/>
      <c r="G503" s="25"/>
      <c r="H503" s="319"/>
      <c r="I503" s="25"/>
      <c r="J503" s="25"/>
      <c r="K503" s="25"/>
      <c r="L503" s="25"/>
      <c r="M503" s="25"/>
      <c r="N503" s="25"/>
    </row>
    <row r="504" spans="4:14">
      <c r="D504" s="9"/>
      <c r="E504" s="25"/>
      <c r="F504" s="25"/>
      <c r="G504" s="25"/>
      <c r="H504" s="319"/>
      <c r="I504" s="25"/>
      <c r="J504" s="25"/>
      <c r="K504" s="25"/>
      <c r="L504" s="25"/>
      <c r="M504" s="25"/>
      <c r="N504" s="25"/>
    </row>
    <row r="505" spans="4:14">
      <c r="D505" s="9"/>
      <c r="E505" s="25"/>
      <c r="F505" s="25"/>
      <c r="G505" s="25"/>
      <c r="H505" s="319"/>
      <c r="I505" s="25"/>
      <c r="J505" s="25"/>
      <c r="K505" s="25"/>
      <c r="L505" s="25"/>
      <c r="M505" s="25"/>
      <c r="N505" s="25"/>
    </row>
    <row r="506" spans="4:14">
      <c r="D506" s="9"/>
      <c r="E506" s="25"/>
      <c r="F506" s="25"/>
      <c r="G506" s="25"/>
      <c r="H506" s="319"/>
      <c r="I506" s="25"/>
      <c r="J506" s="25"/>
      <c r="K506" s="25"/>
      <c r="L506" s="25"/>
      <c r="M506" s="25"/>
      <c r="N506" s="25"/>
    </row>
    <row r="507" spans="4:14">
      <c r="D507" s="9"/>
      <c r="E507" s="25"/>
      <c r="F507" s="25"/>
      <c r="G507" s="25"/>
      <c r="H507" s="319"/>
      <c r="I507" s="25"/>
      <c r="J507" s="25"/>
      <c r="K507" s="25"/>
      <c r="L507" s="25"/>
      <c r="M507" s="25"/>
      <c r="N507" s="25"/>
    </row>
    <row r="508" spans="4:14">
      <c r="D508" s="9"/>
      <c r="E508" s="25"/>
      <c r="F508" s="25"/>
      <c r="G508" s="25"/>
      <c r="H508" s="319"/>
      <c r="I508" s="25"/>
      <c r="J508" s="25"/>
      <c r="K508" s="25"/>
      <c r="L508" s="25"/>
      <c r="M508" s="25"/>
      <c r="N508" s="25"/>
    </row>
    <row r="509" spans="4:14">
      <c r="D509" s="9"/>
      <c r="E509" s="25"/>
      <c r="F509" s="25"/>
      <c r="G509" s="25"/>
      <c r="H509" s="319"/>
      <c r="I509" s="25"/>
      <c r="J509" s="25"/>
      <c r="K509" s="25"/>
      <c r="L509" s="25"/>
      <c r="M509" s="25"/>
      <c r="N509" s="25"/>
    </row>
    <row r="510" spans="4:14">
      <c r="D510" s="9"/>
      <c r="E510" s="25"/>
      <c r="F510" s="25"/>
      <c r="G510" s="25"/>
      <c r="H510" s="319"/>
      <c r="I510" s="25"/>
      <c r="J510" s="25"/>
      <c r="K510" s="25"/>
      <c r="L510" s="25"/>
      <c r="M510" s="25"/>
      <c r="N510" s="25"/>
    </row>
    <row r="511" spans="4:14">
      <c r="D511" s="9"/>
      <c r="E511" s="25"/>
      <c r="F511" s="25"/>
      <c r="G511" s="25"/>
      <c r="H511" s="319"/>
      <c r="I511" s="25"/>
      <c r="J511" s="25"/>
      <c r="K511" s="25"/>
      <c r="L511" s="25"/>
      <c r="M511" s="25"/>
      <c r="N511" s="25"/>
    </row>
    <row r="512" spans="4:14">
      <c r="D512" s="9"/>
      <c r="E512" s="25"/>
      <c r="F512" s="25"/>
      <c r="G512" s="25"/>
      <c r="H512" s="319"/>
      <c r="I512" s="25"/>
      <c r="J512" s="25"/>
      <c r="K512" s="25"/>
      <c r="L512" s="25"/>
      <c r="M512" s="25"/>
      <c r="N512" s="25"/>
    </row>
    <row r="513" spans="4:14">
      <c r="D513" s="9"/>
      <c r="E513" s="25"/>
      <c r="F513" s="25"/>
      <c r="G513" s="25"/>
      <c r="H513" s="319"/>
      <c r="I513" s="25"/>
      <c r="J513" s="25"/>
      <c r="K513" s="25"/>
      <c r="L513" s="25"/>
      <c r="M513" s="25"/>
      <c r="N513" s="25"/>
    </row>
    <row r="514" spans="4:14">
      <c r="D514" s="9"/>
      <c r="E514" s="25"/>
      <c r="F514" s="25"/>
      <c r="G514" s="25"/>
      <c r="H514" s="319"/>
      <c r="I514" s="25"/>
      <c r="J514" s="25"/>
      <c r="K514" s="25"/>
      <c r="L514" s="25"/>
      <c r="M514" s="25"/>
      <c r="N514" s="25"/>
    </row>
    <row r="515" spans="4:14">
      <c r="D515" s="9"/>
      <c r="E515" s="25"/>
      <c r="F515" s="25"/>
      <c r="G515" s="25"/>
      <c r="H515" s="319"/>
      <c r="I515" s="25"/>
      <c r="J515" s="25"/>
      <c r="K515" s="25"/>
      <c r="L515" s="25"/>
      <c r="M515" s="25"/>
      <c r="N515" s="25"/>
    </row>
    <row r="516" spans="4:14">
      <c r="D516" s="9"/>
      <c r="E516" s="25"/>
      <c r="F516" s="25"/>
      <c r="G516" s="25"/>
      <c r="H516" s="319"/>
      <c r="I516" s="25"/>
      <c r="J516" s="25"/>
      <c r="K516" s="25"/>
      <c r="L516" s="25"/>
      <c r="M516" s="25"/>
      <c r="N516" s="25"/>
    </row>
    <row r="517" spans="4:14">
      <c r="D517" s="9"/>
      <c r="E517" s="25"/>
      <c r="F517" s="25"/>
      <c r="G517" s="25"/>
      <c r="H517" s="319"/>
      <c r="I517" s="25"/>
      <c r="J517" s="25"/>
      <c r="K517" s="25"/>
      <c r="L517" s="25"/>
      <c r="M517" s="25"/>
      <c r="N517" s="25"/>
    </row>
    <row r="518" spans="4:14">
      <c r="D518" s="9"/>
      <c r="E518" s="25"/>
      <c r="F518" s="25"/>
      <c r="G518" s="25"/>
      <c r="H518" s="319"/>
      <c r="I518" s="25"/>
      <c r="J518" s="25"/>
      <c r="K518" s="25"/>
      <c r="L518" s="25"/>
      <c r="M518" s="25"/>
      <c r="N518" s="25"/>
    </row>
    <row r="519" spans="4:14">
      <c r="D519" s="9"/>
      <c r="E519" s="25"/>
      <c r="F519" s="25"/>
      <c r="G519" s="25"/>
      <c r="H519" s="319"/>
      <c r="I519" s="25"/>
      <c r="J519" s="25"/>
      <c r="K519" s="25"/>
      <c r="L519" s="25"/>
      <c r="M519" s="25"/>
      <c r="N519" s="25"/>
    </row>
    <row r="520" spans="4:14">
      <c r="D520" s="9"/>
      <c r="E520" s="25"/>
      <c r="F520" s="25"/>
      <c r="G520" s="25"/>
      <c r="H520" s="319"/>
      <c r="I520" s="25"/>
      <c r="J520" s="25"/>
      <c r="K520" s="25"/>
      <c r="L520" s="25"/>
      <c r="M520" s="25"/>
      <c r="N520" s="25"/>
    </row>
    <row r="521" spans="4:14">
      <c r="D521" s="9"/>
      <c r="E521" s="25"/>
      <c r="F521" s="25"/>
      <c r="G521" s="25"/>
      <c r="H521" s="319"/>
      <c r="I521" s="25"/>
      <c r="J521" s="25"/>
      <c r="K521" s="25"/>
      <c r="L521" s="25"/>
      <c r="M521" s="25"/>
      <c r="N521" s="25"/>
    </row>
    <row r="522" spans="4:14">
      <c r="D522" s="9"/>
      <c r="E522" s="25"/>
      <c r="F522" s="25"/>
      <c r="G522" s="25"/>
      <c r="H522" s="319"/>
      <c r="I522" s="25"/>
      <c r="J522" s="25"/>
      <c r="K522" s="25"/>
      <c r="L522" s="25"/>
      <c r="M522" s="25"/>
      <c r="N522" s="25"/>
    </row>
    <row r="523" spans="4:14">
      <c r="D523" s="9"/>
      <c r="E523" s="25"/>
      <c r="F523" s="25"/>
      <c r="G523" s="25"/>
      <c r="H523" s="319"/>
      <c r="I523" s="25"/>
      <c r="J523" s="25"/>
      <c r="K523" s="25"/>
      <c r="L523" s="25"/>
      <c r="M523" s="25"/>
      <c r="N523" s="25"/>
    </row>
    <row r="524" spans="4:14">
      <c r="D524" s="9"/>
      <c r="E524" s="25"/>
      <c r="F524" s="25"/>
      <c r="G524" s="25"/>
      <c r="H524" s="319"/>
      <c r="I524" s="25"/>
      <c r="J524" s="25"/>
      <c r="K524" s="25"/>
      <c r="L524" s="25"/>
      <c r="M524" s="25"/>
      <c r="N524" s="25"/>
    </row>
    <row r="525" spans="4:14">
      <c r="D525" s="9"/>
      <c r="E525" s="25"/>
      <c r="F525" s="25"/>
      <c r="G525" s="25"/>
      <c r="H525" s="319"/>
      <c r="I525" s="25"/>
      <c r="J525" s="25"/>
      <c r="K525" s="25"/>
      <c r="L525" s="25"/>
      <c r="M525" s="25"/>
      <c r="N525" s="25"/>
    </row>
    <row r="526" spans="4:14">
      <c r="D526" s="9"/>
      <c r="E526" s="25"/>
      <c r="F526" s="25"/>
      <c r="G526" s="25"/>
      <c r="H526" s="319"/>
      <c r="I526" s="25"/>
      <c r="J526" s="25"/>
      <c r="K526" s="25"/>
      <c r="L526" s="25"/>
      <c r="M526" s="25"/>
      <c r="N526" s="25"/>
    </row>
    <row r="527" spans="4:14">
      <c r="D527" s="9"/>
      <c r="E527" s="25"/>
      <c r="F527" s="25"/>
      <c r="G527" s="25"/>
      <c r="H527" s="319"/>
      <c r="I527" s="25"/>
      <c r="J527" s="25"/>
      <c r="K527" s="25"/>
      <c r="L527" s="25"/>
      <c r="M527" s="25"/>
      <c r="N527" s="25"/>
    </row>
    <row r="528" spans="4:14">
      <c r="D528" s="9"/>
      <c r="E528" s="25"/>
      <c r="F528" s="25"/>
      <c r="G528" s="25"/>
      <c r="H528" s="319"/>
      <c r="I528" s="25"/>
      <c r="J528" s="25"/>
      <c r="K528" s="25"/>
      <c r="L528" s="25"/>
      <c r="M528" s="25"/>
      <c r="N528" s="25"/>
    </row>
    <row r="529" spans="4:14">
      <c r="D529" s="9"/>
      <c r="E529" s="25"/>
      <c r="F529" s="25"/>
      <c r="G529" s="25"/>
      <c r="H529" s="319"/>
      <c r="I529" s="25"/>
      <c r="J529" s="25"/>
      <c r="K529" s="25"/>
      <c r="L529" s="25"/>
      <c r="M529" s="25"/>
      <c r="N529" s="25"/>
    </row>
    <row r="530" spans="4:14">
      <c r="D530" s="9"/>
      <c r="E530" s="25"/>
      <c r="F530" s="25"/>
      <c r="G530" s="25"/>
      <c r="H530" s="319"/>
      <c r="I530" s="25"/>
      <c r="J530" s="25"/>
      <c r="K530" s="25"/>
      <c r="L530" s="25"/>
      <c r="M530" s="25"/>
      <c r="N530" s="25"/>
    </row>
    <row r="531" spans="4:14">
      <c r="D531" s="9"/>
      <c r="E531" s="25"/>
      <c r="F531" s="25"/>
      <c r="G531" s="25"/>
      <c r="H531" s="319"/>
      <c r="I531" s="25"/>
      <c r="J531" s="25"/>
      <c r="K531" s="25"/>
      <c r="L531" s="25"/>
      <c r="M531" s="25"/>
      <c r="N531" s="25"/>
    </row>
    <row r="532" spans="4:14">
      <c r="D532" s="9"/>
      <c r="E532" s="25"/>
      <c r="F532" s="25"/>
      <c r="G532" s="25"/>
      <c r="H532" s="319"/>
      <c r="I532" s="25"/>
      <c r="J532" s="25"/>
      <c r="K532" s="25"/>
      <c r="L532" s="25"/>
      <c r="M532" s="25"/>
      <c r="N532" s="25"/>
    </row>
    <row r="533" spans="4:14">
      <c r="D533" s="9"/>
      <c r="E533" s="25"/>
      <c r="F533" s="25"/>
      <c r="G533" s="25"/>
      <c r="H533" s="319"/>
      <c r="I533" s="25"/>
      <c r="J533" s="25"/>
      <c r="K533" s="25"/>
      <c r="L533" s="25"/>
      <c r="M533" s="25"/>
      <c r="N533" s="25"/>
    </row>
    <row r="534" spans="4:14">
      <c r="D534" s="9"/>
      <c r="E534" s="25"/>
      <c r="F534" s="25"/>
      <c r="G534" s="25"/>
      <c r="H534" s="319"/>
      <c r="I534" s="25"/>
      <c r="J534" s="25"/>
      <c r="K534" s="25"/>
      <c r="L534" s="25"/>
      <c r="M534" s="25"/>
      <c r="N534" s="25"/>
    </row>
    <row r="535" spans="4:14">
      <c r="D535" s="9"/>
      <c r="E535" s="25"/>
      <c r="F535" s="25"/>
      <c r="G535" s="25"/>
      <c r="H535" s="319"/>
      <c r="I535" s="25"/>
      <c r="J535" s="25"/>
      <c r="K535" s="25"/>
      <c r="L535" s="25"/>
      <c r="M535" s="25"/>
      <c r="N535" s="25"/>
    </row>
    <row r="536" spans="4:14">
      <c r="D536" s="9"/>
      <c r="E536" s="25"/>
      <c r="F536" s="25"/>
      <c r="G536" s="25"/>
      <c r="H536" s="319"/>
      <c r="I536" s="25"/>
      <c r="J536" s="25"/>
      <c r="K536" s="25"/>
      <c r="L536" s="25"/>
      <c r="M536" s="25"/>
      <c r="N536" s="25"/>
    </row>
    <row r="537" spans="4:14">
      <c r="D537" s="9"/>
      <c r="E537" s="25"/>
      <c r="F537" s="25"/>
      <c r="G537" s="25"/>
      <c r="H537" s="319"/>
      <c r="I537" s="25"/>
      <c r="J537" s="25"/>
      <c r="K537" s="25"/>
      <c r="L537" s="25"/>
      <c r="M537" s="25"/>
      <c r="N537" s="25"/>
    </row>
    <row r="538" spans="4:14">
      <c r="D538" s="9"/>
      <c r="E538" s="25"/>
      <c r="F538" s="25"/>
      <c r="G538" s="25"/>
      <c r="H538" s="319"/>
      <c r="I538" s="25"/>
      <c r="J538" s="25"/>
      <c r="K538" s="25"/>
      <c r="L538" s="25"/>
      <c r="M538" s="25"/>
      <c r="N538" s="25"/>
    </row>
    <row r="539" spans="4:14">
      <c r="D539" s="9"/>
      <c r="E539" s="25"/>
      <c r="F539" s="25"/>
      <c r="G539" s="25"/>
      <c r="H539" s="319"/>
      <c r="I539" s="25"/>
      <c r="J539" s="25"/>
      <c r="K539" s="25"/>
      <c r="L539" s="25"/>
      <c r="M539" s="25"/>
      <c r="N539" s="25"/>
    </row>
    <row r="540" spans="4:14">
      <c r="D540" s="9"/>
      <c r="E540" s="25"/>
      <c r="F540" s="25"/>
      <c r="G540" s="25"/>
      <c r="H540" s="319"/>
      <c r="I540" s="25"/>
      <c r="J540" s="25"/>
      <c r="K540" s="25"/>
      <c r="L540" s="25"/>
      <c r="M540" s="25"/>
      <c r="N540" s="25"/>
    </row>
    <row r="541" spans="4:14">
      <c r="D541" s="9"/>
      <c r="E541" s="25"/>
      <c r="F541" s="25"/>
      <c r="G541" s="25"/>
      <c r="H541" s="319"/>
      <c r="I541" s="25"/>
      <c r="J541" s="25"/>
      <c r="K541" s="25"/>
      <c r="L541" s="25"/>
      <c r="M541" s="25"/>
      <c r="N541" s="25"/>
    </row>
    <row r="542" spans="4:14">
      <c r="D542" s="9"/>
      <c r="E542" s="25"/>
      <c r="F542" s="25"/>
      <c r="G542" s="25"/>
      <c r="H542" s="319"/>
      <c r="I542" s="25"/>
      <c r="J542" s="25"/>
      <c r="K542" s="25"/>
      <c r="L542" s="25"/>
      <c r="M542" s="25"/>
      <c r="N542" s="25"/>
    </row>
    <row r="543" spans="4:14">
      <c r="D543" s="9"/>
      <c r="E543" s="25"/>
      <c r="F543" s="25"/>
      <c r="G543" s="25"/>
      <c r="H543" s="319"/>
      <c r="I543" s="25"/>
      <c r="J543" s="25"/>
      <c r="K543" s="25"/>
      <c r="L543" s="25"/>
      <c r="M543" s="25"/>
      <c r="N543" s="25"/>
    </row>
    <row r="544" spans="4:14">
      <c r="D544" s="9"/>
      <c r="E544" s="25"/>
      <c r="F544" s="25"/>
      <c r="G544" s="25"/>
      <c r="H544" s="319"/>
      <c r="I544" s="25"/>
      <c r="J544" s="25"/>
      <c r="K544" s="25"/>
      <c r="L544" s="25"/>
      <c r="M544" s="25"/>
      <c r="N544" s="25"/>
    </row>
    <row r="545" spans="4:14">
      <c r="D545" s="9"/>
      <c r="E545" s="25"/>
      <c r="F545" s="25"/>
      <c r="G545" s="25"/>
      <c r="H545" s="319"/>
      <c r="I545" s="25"/>
      <c r="J545" s="25"/>
      <c r="K545" s="25"/>
      <c r="L545" s="25"/>
      <c r="M545" s="25"/>
      <c r="N545" s="25"/>
    </row>
    <row r="546" spans="4:14">
      <c r="D546" s="9"/>
      <c r="E546" s="25"/>
      <c r="F546" s="25"/>
      <c r="G546" s="25"/>
      <c r="H546" s="319"/>
      <c r="I546" s="25"/>
      <c r="J546" s="25"/>
      <c r="K546" s="25"/>
      <c r="L546" s="25"/>
      <c r="M546" s="25"/>
      <c r="N546" s="25"/>
    </row>
    <row r="547" spans="4:14">
      <c r="D547" s="9"/>
      <c r="E547" s="25"/>
      <c r="F547" s="25"/>
      <c r="G547" s="25"/>
      <c r="H547" s="319"/>
      <c r="I547" s="25"/>
      <c r="J547" s="25"/>
      <c r="K547" s="25"/>
      <c r="L547" s="25"/>
      <c r="M547" s="25"/>
      <c r="N547" s="25"/>
    </row>
    <row r="548" spans="4:14">
      <c r="D548" s="9"/>
      <c r="E548" s="25"/>
      <c r="F548" s="25"/>
      <c r="G548" s="25"/>
      <c r="H548" s="319"/>
      <c r="I548" s="25"/>
      <c r="J548" s="25"/>
      <c r="K548" s="25"/>
      <c r="L548" s="25"/>
      <c r="M548" s="25"/>
      <c r="N548" s="25"/>
    </row>
    <row r="549" spans="4:14">
      <c r="D549" s="9"/>
      <c r="E549" s="25"/>
      <c r="F549" s="25"/>
      <c r="G549" s="25"/>
      <c r="H549" s="319"/>
      <c r="I549" s="25"/>
      <c r="J549" s="25"/>
      <c r="K549" s="25"/>
      <c r="L549" s="25"/>
      <c r="M549" s="25"/>
      <c r="N549" s="25"/>
    </row>
    <row r="550" spans="4:14">
      <c r="D550" s="9"/>
      <c r="E550" s="25"/>
      <c r="F550" s="25"/>
      <c r="G550" s="25"/>
      <c r="H550" s="319"/>
      <c r="I550" s="25"/>
      <c r="J550" s="25"/>
      <c r="K550" s="25"/>
      <c r="L550" s="25"/>
      <c r="M550" s="25"/>
      <c r="N550" s="25"/>
    </row>
    <row r="551" spans="4:14">
      <c r="D551" s="9"/>
      <c r="E551" s="25"/>
      <c r="F551" s="25"/>
      <c r="G551" s="25"/>
      <c r="H551" s="319"/>
      <c r="I551" s="25"/>
      <c r="J551" s="25"/>
      <c r="K551" s="25"/>
      <c r="L551" s="25"/>
      <c r="M551" s="25"/>
      <c r="N551" s="25"/>
    </row>
    <row r="552" spans="4:14">
      <c r="D552" s="9"/>
      <c r="E552" s="25"/>
      <c r="F552" s="25"/>
      <c r="G552" s="25"/>
      <c r="H552" s="319"/>
      <c r="I552" s="25"/>
      <c r="J552" s="25"/>
      <c r="K552" s="25"/>
      <c r="L552" s="25"/>
      <c r="M552" s="25"/>
      <c r="N552" s="25"/>
    </row>
    <row r="553" spans="4:14">
      <c r="D553" s="9"/>
      <c r="E553" s="25"/>
      <c r="F553" s="25"/>
      <c r="G553" s="25"/>
      <c r="H553" s="319"/>
      <c r="I553" s="25"/>
      <c r="J553" s="25"/>
      <c r="K553" s="25"/>
      <c r="L553" s="25"/>
      <c r="M553" s="25"/>
      <c r="N553" s="25"/>
    </row>
    <row r="554" spans="4:14">
      <c r="D554" s="9"/>
      <c r="E554" s="25"/>
      <c r="F554" s="25"/>
      <c r="G554" s="25"/>
      <c r="H554" s="319"/>
      <c r="I554" s="25"/>
      <c r="J554" s="25"/>
      <c r="K554" s="25"/>
      <c r="L554" s="25"/>
      <c r="M554" s="25"/>
      <c r="N554" s="25"/>
    </row>
    <row r="555" spans="4:14">
      <c r="D555" s="9"/>
      <c r="E555" s="25"/>
      <c r="F555" s="25"/>
      <c r="G555" s="25"/>
      <c r="H555" s="319"/>
      <c r="I555" s="25"/>
      <c r="J555" s="25"/>
      <c r="K555" s="25"/>
      <c r="L555" s="25"/>
      <c r="M555" s="25"/>
      <c r="N555" s="25"/>
    </row>
    <row r="556" spans="4:14">
      <c r="D556" s="9"/>
      <c r="E556" s="25"/>
      <c r="F556" s="25"/>
      <c r="G556" s="25"/>
      <c r="H556" s="319"/>
      <c r="I556" s="25"/>
      <c r="J556" s="25"/>
      <c r="K556" s="25"/>
      <c r="L556" s="25"/>
      <c r="M556" s="25"/>
      <c r="N556" s="25"/>
    </row>
    <row r="557" spans="4:14">
      <c r="D557" s="9"/>
      <c r="E557" s="25"/>
      <c r="F557" s="25"/>
      <c r="G557" s="25"/>
      <c r="H557" s="319"/>
      <c r="I557" s="25"/>
      <c r="J557" s="25"/>
      <c r="K557" s="25"/>
      <c r="L557" s="25"/>
      <c r="M557" s="25"/>
      <c r="N557" s="25"/>
    </row>
    <row r="558" spans="4:14">
      <c r="D558" s="9"/>
      <c r="E558" s="25"/>
      <c r="F558" s="25"/>
      <c r="G558" s="25"/>
      <c r="H558" s="319"/>
      <c r="I558" s="25"/>
      <c r="J558" s="25"/>
      <c r="K558" s="25"/>
      <c r="L558" s="25"/>
      <c r="M558" s="25"/>
      <c r="N558" s="25"/>
    </row>
    <row r="559" spans="4:14">
      <c r="D559" s="9"/>
      <c r="E559" s="25"/>
      <c r="F559" s="25"/>
      <c r="G559" s="25"/>
      <c r="H559" s="319"/>
      <c r="I559" s="25"/>
      <c r="J559" s="25"/>
      <c r="K559" s="25"/>
      <c r="L559" s="25"/>
      <c r="M559" s="25"/>
      <c r="N559" s="25"/>
    </row>
    <row r="560" spans="4:14">
      <c r="D560" s="9"/>
      <c r="E560" s="25"/>
      <c r="F560" s="25"/>
      <c r="G560" s="25"/>
      <c r="H560" s="319"/>
      <c r="I560" s="25"/>
      <c r="J560" s="25"/>
      <c r="K560" s="25"/>
      <c r="L560" s="25"/>
      <c r="M560" s="25"/>
      <c r="N560" s="25"/>
    </row>
    <row r="561" spans="4:14">
      <c r="D561" s="9"/>
      <c r="E561" s="25"/>
      <c r="F561" s="25"/>
      <c r="G561" s="25"/>
      <c r="H561" s="319"/>
      <c r="I561" s="25"/>
      <c r="J561" s="25"/>
      <c r="K561" s="25"/>
      <c r="L561" s="25"/>
      <c r="M561" s="25"/>
      <c r="N561" s="25"/>
    </row>
    <row r="562" spans="4:14">
      <c r="D562" s="9"/>
      <c r="E562" s="25"/>
      <c r="F562" s="25"/>
      <c r="G562" s="25"/>
      <c r="H562" s="319"/>
      <c r="I562" s="25"/>
      <c r="J562" s="25"/>
      <c r="K562" s="25"/>
      <c r="L562" s="25"/>
      <c r="M562" s="25"/>
      <c r="N562" s="25"/>
    </row>
    <row r="563" spans="4:14">
      <c r="D563" s="9"/>
      <c r="E563" s="25"/>
      <c r="F563" s="25"/>
      <c r="G563" s="25"/>
      <c r="H563" s="319"/>
      <c r="I563" s="25"/>
      <c r="J563" s="25"/>
      <c r="K563" s="25"/>
      <c r="L563" s="25"/>
      <c r="M563" s="25"/>
      <c r="N563" s="25"/>
    </row>
    <row r="564" spans="4:14">
      <c r="D564" s="9"/>
      <c r="E564" s="25"/>
      <c r="F564" s="25"/>
      <c r="G564" s="25"/>
      <c r="H564" s="319"/>
      <c r="I564" s="25"/>
      <c r="J564" s="25"/>
      <c r="K564" s="25"/>
      <c r="L564" s="25"/>
      <c r="M564" s="25"/>
      <c r="N564" s="25"/>
    </row>
    <row r="565" spans="4:14">
      <c r="D565" s="9"/>
      <c r="E565" s="25"/>
      <c r="F565" s="25"/>
      <c r="G565" s="25"/>
      <c r="H565" s="319"/>
      <c r="I565" s="25"/>
      <c r="J565" s="25"/>
      <c r="K565" s="25"/>
      <c r="L565" s="25"/>
      <c r="M565" s="25"/>
      <c r="N565" s="25"/>
    </row>
    <row r="566" spans="4:14">
      <c r="D566" s="9"/>
      <c r="E566" s="25"/>
      <c r="F566" s="25"/>
      <c r="G566" s="25"/>
      <c r="H566" s="319"/>
      <c r="I566" s="25"/>
      <c r="J566" s="25"/>
      <c r="K566" s="25"/>
      <c r="L566" s="25"/>
      <c r="M566" s="25"/>
      <c r="N566" s="25"/>
    </row>
    <row r="567" spans="4:14">
      <c r="D567" s="9"/>
      <c r="E567" s="25"/>
      <c r="F567" s="25"/>
      <c r="G567" s="25"/>
      <c r="H567" s="319"/>
      <c r="I567" s="25"/>
      <c r="J567" s="25"/>
      <c r="K567" s="25"/>
      <c r="L567" s="25"/>
      <c r="M567" s="25"/>
      <c r="N567" s="25"/>
    </row>
    <row r="568" spans="4:14">
      <c r="D568" s="9"/>
      <c r="E568" s="25"/>
      <c r="F568" s="25"/>
      <c r="G568" s="25"/>
      <c r="H568" s="319"/>
      <c r="I568" s="25"/>
      <c r="J568" s="25"/>
      <c r="K568" s="25"/>
      <c r="L568" s="25"/>
      <c r="M568" s="25"/>
      <c r="N568" s="25"/>
    </row>
    <row r="569" spans="4:14">
      <c r="D569" s="9"/>
      <c r="E569" s="25"/>
      <c r="F569" s="25"/>
      <c r="G569" s="25"/>
      <c r="H569" s="319"/>
      <c r="I569" s="25"/>
      <c r="J569" s="25"/>
      <c r="K569" s="25"/>
      <c r="L569" s="25"/>
      <c r="M569" s="25"/>
      <c r="N569" s="25"/>
    </row>
    <row r="570" spans="4:14">
      <c r="D570" s="9"/>
      <c r="E570" s="25"/>
      <c r="F570" s="25"/>
      <c r="G570" s="25"/>
      <c r="H570" s="319"/>
      <c r="I570" s="25"/>
      <c r="J570" s="25"/>
      <c r="K570" s="25"/>
      <c r="L570" s="25"/>
      <c r="M570" s="25"/>
      <c r="N570" s="25"/>
    </row>
    <row r="571" spans="4:14">
      <c r="D571" s="9"/>
      <c r="E571" s="25"/>
      <c r="F571" s="25"/>
      <c r="G571" s="25"/>
      <c r="H571" s="319"/>
      <c r="I571" s="25"/>
      <c r="J571" s="25"/>
      <c r="K571" s="25"/>
      <c r="L571" s="25"/>
      <c r="M571" s="25"/>
      <c r="N571" s="25"/>
    </row>
    <row r="572" spans="4:14">
      <c r="D572" s="9"/>
      <c r="E572" s="25"/>
      <c r="F572" s="25"/>
      <c r="G572" s="25"/>
      <c r="H572" s="319"/>
      <c r="I572" s="25"/>
      <c r="J572" s="25"/>
      <c r="K572" s="25"/>
      <c r="L572" s="25"/>
      <c r="M572" s="25"/>
      <c r="N572" s="25"/>
    </row>
    <row r="573" spans="4:14">
      <c r="D573" s="9"/>
      <c r="E573" s="25"/>
      <c r="F573" s="25"/>
      <c r="G573" s="25"/>
      <c r="H573" s="319"/>
      <c r="I573" s="25"/>
      <c r="J573" s="25"/>
      <c r="K573" s="25"/>
      <c r="L573" s="25"/>
      <c r="M573" s="25"/>
      <c r="N573" s="25"/>
    </row>
    <row r="574" spans="4:14">
      <c r="D574" s="9"/>
      <c r="E574" s="25"/>
      <c r="F574" s="25"/>
      <c r="G574" s="25"/>
      <c r="H574" s="319"/>
      <c r="I574" s="25"/>
      <c r="J574" s="25"/>
      <c r="K574" s="25"/>
      <c r="L574" s="25"/>
      <c r="M574" s="25"/>
      <c r="N574" s="25"/>
    </row>
    <row r="575" spans="4:14">
      <c r="D575" s="9"/>
      <c r="E575" s="25"/>
      <c r="F575" s="25"/>
      <c r="G575" s="25"/>
      <c r="H575" s="319"/>
      <c r="I575" s="25"/>
      <c r="J575" s="25"/>
      <c r="K575" s="25"/>
      <c r="L575" s="25"/>
      <c r="M575" s="25"/>
      <c r="N575" s="25"/>
    </row>
    <row r="576" spans="4:14">
      <c r="D576" s="9"/>
      <c r="E576" s="25"/>
      <c r="F576" s="25"/>
      <c r="G576" s="25"/>
      <c r="H576" s="319"/>
      <c r="I576" s="25"/>
      <c r="J576" s="25"/>
      <c r="K576" s="25"/>
      <c r="L576" s="25"/>
      <c r="M576" s="25"/>
      <c r="N576" s="25"/>
    </row>
    <row r="577" spans="4:14">
      <c r="D577" s="9"/>
      <c r="E577" s="25"/>
      <c r="F577" s="25"/>
      <c r="G577" s="25"/>
      <c r="H577" s="319"/>
      <c r="I577" s="25"/>
      <c r="J577" s="25"/>
      <c r="K577" s="25"/>
      <c r="L577" s="25"/>
      <c r="M577" s="25"/>
      <c r="N577" s="25"/>
    </row>
    <row r="578" spans="4:14">
      <c r="D578" s="9"/>
      <c r="E578" s="25"/>
      <c r="F578" s="25"/>
      <c r="G578" s="25"/>
      <c r="H578" s="319"/>
      <c r="I578" s="25"/>
      <c r="J578" s="25"/>
      <c r="K578" s="25"/>
      <c r="L578" s="25"/>
      <c r="M578" s="25"/>
      <c r="N578" s="25"/>
    </row>
    <row r="579" spans="4:14">
      <c r="D579" s="9"/>
      <c r="E579" s="25"/>
      <c r="F579" s="25"/>
      <c r="G579" s="25"/>
      <c r="H579" s="319"/>
      <c r="I579" s="25"/>
      <c r="J579" s="25"/>
      <c r="K579" s="25"/>
      <c r="L579" s="25"/>
      <c r="M579" s="25"/>
      <c r="N579" s="25"/>
    </row>
    <row r="580" spans="4:14">
      <c r="D580" s="9"/>
      <c r="E580" s="25"/>
      <c r="F580" s="25"/>
      <c r="G580" s="25"/>
      <c r="H580" s="319"/>
      <c r="I580" s="25"/>
      <c r="J580" s="25"/>
      <c r="K580" s="25"/>
      <c r="L580" s="25"/>
      <c r="M580" s="25"/>
      <c r="N580" s="25"/>
    </row>
    <row r="581" spans="4:14">
      <c r="D581" s="9"/>
      <c r="E581" s="25"/>
      <c r="F581" s="25"/>
      <c r="G581" s="25"/>
      <c r="H581" s="319"/>
      <c r="I581" s="25"/>
      <c r="J581" s="25"/>
      <c r="K581" s="25"/>
      <c r="L581" s="25"/>
      <c r="M581" s="25"/>
      <c r="N581" s="25"/>
    </row>
    <row r="582" spans="4:14">
      <c r="D582" s="9"/>
      <c r="E582" s="25"/>
      <c r="F582" s="25"/>
      <c r="G582" s="25"/>
      <c r="H582" s="319"/>
      <c r="I582" s="25"/>
      <c r="J582" s="25"/>
      <c r="K582" s="25"/>
      <c r="L582" s="25"/>
      <c r="M582" s="25"/>
      <c r="N582" s="25"/>
    </row>
    <row r="583" spans="4:14">
      <c r="D583" s="9"/>
      <c r="E583" s="25"/>
      <c r="F583" s="25"/>
      <c r="G583" s="25"/>
      <c r="H583" s="319"/>
      <c r="I583" s="25"/>
      <c r="J583" s="25"/>
      <c r="K583" s="25"/>
      <c r="L583" s="25"/>
      <c r="M583" s="25"/>
      <c r="N583" s="25"/>
    </row>
    <row r="584" spans="4:14">
      <c r="D584" s="9"/>
      <c r="E584" s="25"/>
      <c r="F584" s="25"/>
      <c r="G584" s="25"/>
      <c r="H584" s="319"/>
      <c r="I584" s="25"/>
      <c r="J584" s="25"/>
      <c r="K584" s="25"/>
      <c r="L584" s="25"/>
      <c r="M584" s="25"/>
      <c r="N584" s="25"/>
    </row>
    <row r="585" spans="4:14">
      <c r="D585" s="9"/>
      <c r="E585" s="25"/>
      <c r="F585" s="25"/>
      <c r="G585" s="25"/>
      <c r="H585" s="319"/>
      <c r="I585" s="25"/>
      <c r="J585" s="25"/>
      <c r="K585" s="25"/>
      <c r="L585" s="25"/>
      <c r="M585" s="25"/>
      <c r="N585" s="25"/>
    </row>
    <row r="586" spans="4:14">
      <c r="D586" s="9"/>
      <c r="E586" s="25"/>
      <c r="F586" s="25"/>
      <c r="G586" s="25"/>
      <c r="H586" s="319"/>
      <c r="I586" s="25"/>
      <c r="J586" s="25"/>
      <c r="K586" s="25"/>
      <c r="L586" s="25"/>
      <c r="M586" s="25"/>
      <c r="N586" s="25"/>
    </row>
    <row r="587" spans="4:14">
      <c r="D587" s="9"/>
      <c r="E587" s="25"/>
      <c r="F587" s="25"/>
      <c r="G587" s="25"/>
      <c r="H587" s="319"/>
      <c r="I587" s="25"/>
      <c r="J587" s="25"/>
      <c r="K587" s="25"/>
      <c r="L587" s="25"/>
      <c r="M587" s="25"/>
      <c r="N587" s="25"/>
    </row>
    <row r="588" spans="4:14">
      <c r="D588" s="9"/>
      <c r="E588" s="25"/>
      <c r="F588" s="25"/>
      <c r="G588" s="25"/>
      <c r="H588" s="319"/>
      <c r="I588" s="25"/>
      <c r="J588" s="25"/>
      <c r="K588" s="25"/>
      <c r="L588" s="25"/>
      <c r="M588" s="25"/>
      <c r="N588" s="25"/>
    </row>
    <row r="589" spans="4:14">
      <c r="D589" s="9"/>
      <c r="E589" s="25"/>
      <c r="F589" s="25"/>
      <c r="G589" s="25"/>
      <c r="H589" s="319"/>
      <c r="I589" s="25"/>
      <c r="J589" s="25"/>
      <c r="K589" s="25"/>
      <c r="L589" s="25"/>
      <c r="M589" s="25"/>
      <c r="N589" s="25"/>
    </row>
    <row r="590" spans="4:14">
      <c r="D590" s="9"/>
      <c r="E590" s="25"/>
      <c r="F590" s="25"/>
      <c r="G590" s="25"/>
      <c r="H590" s="319"/>
      <c r="I590" s="25"/>
      <c r="J590" s="25"/>
      <c r="K590" s="25"/>
      <c r="L590" s="25"/>
      <c r="M590" s="25"/>
      <c r="N590" s="25"/>
    </row>
    <row r="591" spans="4:14">
      <c r="D591" s="9"/>
      <c r="E591" s="25"/>
      <c r="F591" s="25"/>
      <c r="G591" s="25"/>
      <c r="H591" s="319"/>
      <c r="I591" s="25"/>
      <c r="J591" s="25"/>
      <c r="K591" s="25"/>
      <c r="L591" s="25"/>
      <c r="M591" s="25"/>
      <c r="N591" s="25"/>
    </row>
    <row r="592" spans="4:14">
      <c r="D592" s="9"/>
      <c r="E592" s="25"/>
      <c r="F592" s="25"/>
      <c r="G592" s="25"/>
      <c r="H592" s="319"/>
      <c r="I592" s="25"/>
      <c r="J592" s="25"/>
      <c r="K592" s="25"/>
      <c r="L592" s="25"/>
      <c r="M592" s="25"/>
      <c r="N592" s="25"/>
    </row>
    <row r="593" spans="4:14">
      <c r="D593" s="9"/>
      <c r="E593" s="25"/>
      <c r="F593" s="25"/>
      <c r="G593" s="25"/>
      <c r="H593" s="319"/>
      <c r="I593" s="25"/>
      <c r="J593" s="25"/>
      <c r="K593" s="25"/>
      <c r="L593" s="25"/>
      <c r="M593" s="25"/>
      <c r="N593" s="25"/>
    </row>
    <row r="594" spans="4:14">
      <c r="D594" s="9"/>
      <c r="E594" s="25"/>
      <c r="F594" s="25"/>
      <c r="G594" s="25"/>
      <c r="H594" s="319"/>
      <c r="I594" s="25"/>
      <c r="J594" s="25"/>
      <c r="K594" s="25"/>
      <c r="L594" s="25"/>
      <c r="M594" s="25"/>
      <c r="N594" s="25"/>
    </row>
    <row r="595" spans="4:14">
      <c r="D595" s="9"/>
      <c r="E595" s="25"/>
      <c r="F595" s="25"/>
      <c r="G595" s="25"/>
      <c r="H595" s="319"/>
      <c r="I595" s="25"/>
      <c r="J595" s="25"/>
      <c r="K595" s="25"/>
      <c r="L595" s="25"/>
      <c r="M595" s="25"/>
      <c r="N595" s="25"/>
    </row>
    <row r="596" spans="4:14">
      <c r="D596" s="9"/>
      <c r="E596" s="25"/>
      <c r="F596" s="25"/>
      <c r="G596" s="25"/>
      <c r="H596" s="319"/>
      <c r="I596" s="25"/>
      <c r="J596" s="25"/>
      <c r="K596" s="25"/>
      <c r="L596" s="25"/>
      <c r="M596" s="25"/>
      <c r="N596" s="25"/>
    </row>
    <row r="597" spans="4:14">
      <c r="D597" s="9"/>
      <c r="E597" s="25"/>
      <c r="F597" s="25"/>
      <c r="G597" s="25"/>
      <c r="H597" s="319"/>
      <c r="I597" s="25"/>
      <c r="J597" s="25"/>
      <c r="K597" s="25"/>
      <c r="L597" s="25"/>
      <c r="M597" s="25"/>
      <c r="N597" s="25"/>
    </row>
    <row r="598" spans="4:14">
      <c r="D598" s="9"/>
      <c r="E598" s="25"/>
      <c r="F598" s="25"/>
      <c r="G598" s="25"/>
      <c r="H598" s="319"/>
      <c r="I598" s="25"/>
      <c r="J598" s="25"/>
      <c r="K598" s="25"/>
      <c r="L598" s="25"/>
      <c r="M598" s="25"/>
      <c r="N598" s="25"/>
    </row>
    <row r="599" spans="4:14">
      <c r="D599" s="9"/>
      <c r="E599" s="25"/>
      <c r="F599" s="25"/>
      <c r="G599" s="25"/>
      <c r="H599" s="319"/>
      <c r="I599" s="25"/>
      <c r="J599" s="25"/>
      <c r="K599" s="25"/>
      <c r="L599" s="25"/>
      <c r="M599" s="25"/>
      <c r="N599" s="25"/>
    </row>
    <row r="600" spans="4:14">
      <c r="D600" s="9"/>
      <c r="E600" s="25"/>
      <c r="F600" s="25"/>
      <c r="G600" s="25"/>
      <c r="H600" s="319"/>
      <c r="I600" s="25"/>
      <c r="J600" s="25"/>
      <c r="K600" s="25"/>
      <c r="L600" s="25"/>
      <c r="M600" s="25"/>
      <c r="N600" s="25"/>
    </row>
    <row r="601" spans="4:14">
      <c r="D601" s="9"/>
      <c r="E601" s="25"/>
      <c r="F601" s="25"/>
      <c r="G601" s="25"/>
      <c r="H601" s="319"/>
      <c r="I601" s="25"/>
      <c r="J601" s="25"/>
      <c r="K601" s="25"/>
      <c r="L601" s="25"/>
      <c r="M601" s="25"/>
      <c r="N601" s="25"/>
    </row>
    <row r="602" spans="4:14">
      <c r="D602" s="9"/>
      <c r="E602" s="25"/>
      <c r="F602" s="25"/>
      <c r="G602" s="25"/>
      <c r="H602" s="319"/>
      <c r="I602" s="25"/>
      <c r="J602" s="25"/>
      <c r="K602" s="25"/>
      <c r="L602" s="25"/>
      <c r="M602" s="25"/>
      <c r="N602" s="25"/>
    </row>
    <row r="603" spans="4:14">
      <c r="D603" s="9"/>
      <c r="E603" s="25"/>
      <c r="F603" s="25"/>
      <c r="G603" s="25"/>
      <c r="H603" s="319"/>
      <c r="I603" s="25"/>
      <c r="J603" s="25"/>
      <c r="K603" s="25"/>
      <c r="L603" s="25"/>
      <c r="M603" s="25"/>
      <c r="N603" s="25"/>
    </row>
    <row r="604" spans="4:14">
      <c r="D604" s="9"/>
      <c r="E604" s="25"/>
      <c r="F604" s="25"/>
      <c r="G604" s="25"/>
      <c r="H604" s="319"/>
      <c r="I604" s="25"/>
      <c r="J604" s="25"/>
      <c r="K604" s="25"/>
      <c r="L604" s="25"/>
      <c r="M604" s="25"/>
      <c r="N604" s="25"/>
    </row>
    <row r="605" spans="4:14">
      <c r="D605" s="9"/>
      <c r="E605" s="25"/>
      <c r="F605" s="25"/>
      <c r="G605" s="25"/>
      <c r="H605" s="319"/>
      <c r="I605" s="25"/>
      <c r="J605" s="25"/>
      <c r="K605" s="25"/>
      <c r="L605" s="25"/>
      <c r="M605" s="25"/>
      <c r="N605" s="25"/>
    </row>
    <row r="606" spans="4:14">
      <c r="D606" s="9"/>
      <c r="E606" s="25"/>
      <c r="F606" s="25"/>
      <c r="G606" s="25"/>
      <c r="H606" s="319"/>
      <c r="I606" s="25"/>
      <c r="J606" s="25"/>
      <c r="K606" s="25"/>
      <c r="L606" s="25"/>
      <c r="M606" s="25"/>
      <c r="N606" s="25"/>
    </row>
    <row r="607" spans="4:14">
      <c r="D607" s="9"/>
      <c r="E607" s="25"/>
      <c r="F607" s="25"/>
      <c r="G607" s="25"/>
      <c r="H607" s="319"/>
      <c r="I607" s="25"/>
      <c r="J607" s="25"/>
      <c r="K607" s="25"/>
      <c r="L607" s="25"/>
      <c r="M607" s="25"/>
      <c r="N607" s="25"/>
    </row>
    <row r="608" spans="4:14">
      <c r="D608" s="9"/>
      <c r="E608" s="25"/>
      <c r="F608" s="25"/>
      <c r="G608" s="25"/>
      <c r="H608" s="319"/>
      <c r="I608" s="25"/>
      <c r="J608" s="25"/>
      <c r="K608" s="25"/>
      <c r="L608" s="25"/>
      <c r="M608" s="25"/>
      <c r="N608" s="25"/>
    </row>
    <row r="609" spans="4:14">
      <c r="D609" s="9"/>
      <c r="E609" s="25"/>
      <c r="F609" s="25"/>
      <c r="G609" s="25"/>
      <c r="H609" s="319"/>
      <c r="I609" s="25"/>
      <c r="J609" s="25"/>
      <c r="K609" s="25"/>
      <c r="L609" s="25"/>
      <c r="M609" s="25"/>
      <c r="N609" s="25"/>
    </row>
    <row r="610" spans="4:14">
      <c r="D610" s="9"/>
      <c r="E610" s="25"/>
      <c r="F610" s="25"/>
      <c r="G610" s="25"/>
      <c r="H610" s="319"/>
      <c r="I610" s="25"/>
      <c r="J610" s="25"/>
      <c r="K610" s="25"/>
      <c r="L610" s="25"/>
      <c r="M610" s="25"/>
      <c r="N610" s="25"/>
    </row>
    <row r="611" spans="4:14">
      <c r="D611" s="9"/>
      <c r="E611" s="25"/>
      <c r="F611" s="25"/>
      <c r="G611" s="25"/>
      <c r="H611" s="319"/>
      <c r="I611" s="25"/>
      <c r="J611" s="25"/>
      <c r="K611" s="25"/>
      <c r="L611" s="25"/>
      <c r="M611" s="25"/>
      <c r="N611" s="25"/>
    </row>
  </sheetData>
  <mergeCells count="5">
    <mergeCell ref="L2:N2"/>
    <mergeCell ref="B3:C4"/>
    <mergeCell ref="D3:G3"/>
    <mergeCell ref="H3:L3"/>
    <mergeCell ref="N3:N4"/>
  </mergeCells>
  <pageMargins left="0.22" right="0.12" top="0.75" bottom="0.75" header="0.3" footer="0.3"/>
  <pageSetup scale="61" orientation="landscape" r:id="rId1"/>
</worksheet>
</file>

<file path=xl/worksheets/sheet18.xml><?xml version="1.0" encoding="utf-8"?>
<worksheet xmlns="http://schemas.openxmlformats.org/spreadsheetml/2006/main" xmlns:r="http://schemas.openxmlformats.org/officeDocument/2006/relationships">
  <dimension ref="A1"/>
  <sheetViews>
    <sheetView workbookViewId="0">
      <selection activeCell="K7" sqref="K7"/>
    </sheetView>
  </sheetViews>
  <sheetFormatPr defaultRowHeight="15"/>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IV208"/>
  <sheetViews>
    <sheetView topLeftCell="A128" workbookViewId="0">
      <selection activeCell="K7" sqref="K7"/>
    </sheetView>
  </sheetViews>
  <sheetFormatPr defaultRowHeight="15"/>
  <cols>
    <col min="1" max="1" width="7.28515625" style="52" bestFit="1" customWidth="1"/>
    <col min="2" max="5" width="9.140625" style="2"/>
    <col min="6" max="6" width="14.28515625" style="2" customWidth="1"/>
    <col min="7" max="7" width="9.140625" style="2"/>
    <col min="8" max="8" width="19.85546875" style="22" bestFit="1" customWidth="1"/>
    <col min="9" max="9" width="1.7109375" style="2" customWidth="1"/>
    <col min="10" max="10" width="19.85546875" style="2" bestFit="1" customWidth="1"/>
    <col min="11" max="11" width="1.5703125" style="2" customWidth="1"/>
    <col min="12" max="12" width="16.42578125" style="2" customWidth="1"/>
    <col min="13" max="13" width="1.42578125" style="2" customWidth="1"/>
    <col min="14" max="14" width="12" style="2" bestFit="1" customWidth="1"/>
    <col min="15" max="15" width="10.85546875" style="2" bestFit="1" customWidth="1"/>
    <col min="16" max="16" width="9.140625" style="2"/>
    <col min="17" max="17" width="11.42578125" style="2" customWidth="1"/>
    <col min="18" max="16384" width="9.140625" style="2"/>
  </cols>
  <sheetData>
    <row r="1" spans="1:11">
      <c r="H1" s="2"/>
    </row>
    <row r="2" spans="1:11">
      <c r="H2" s="56" t="s">
        <v>319</v>
      </c>
      <c r="I2" s="52"/>
      <c r="J2" s="56" t="s">
        <v>158</v>
      </c>
    </row>
    <row r="3" spans="1:11">
      <c r="A3" s="123">
        <v>11</v>
      </c>
      <c r="B3" s="10" t="s">
        <v>10</v>
      </c>
      <c r="C3" s="10"/>
      <c r="D3" s="22"/>
      <c r="E3" s="22"/>
      <c r="G3" s="22"/>
      <c r="H3" s="3" t="s">
        <v>1</v>
      </c>
      <c r="I3" s="22"/>
      <c r="J3" s="3" t="s">
        <v>1</v>
      </c>
      <c r="K3" s="5"/>
    </row>
    <row r="4" spans="1:11">
      <c r="A4" s="123"/>
      <c r="B4" s="10"/>
      <c r="C4" s="10"/>
      <c r="D4" s="22"/>
      <c r="E4" s="22"/>
      <c r="G4" s="22"/>
      <c r="H4" s="7"/>
      <c r="I4" s="97"/>
      <c r="J4" s="7"/>
      <c r="K4" s="5"/>
    </row>
    <row r="5" spans="1:11">
      <c r="A5" s="123"/>
      <c r="B5" s="10" t="s">
        <v>159</v>
      </c>
      <c r="C5" s="10"/>
      <c r="D5" s="22"/>
      <c r="E5" s="22"/>
      <c r="G5" s="22"/>
      <c r="H5" s="3">
        <v>904845</v>
      </c>
      <c r="I5" s="22"/>
      <c r="J5" s="22">
        <v>2714535</v>
      </c>
      <c r="K5" s="5"/>
    </row>
    <row r="6" spans="1:11">
      <c r="A6" s="123"/>
      <c r="B6" s="10" t="s">
        <v>160</v>
      </c>
      <c r="C6" s="10"/>
      <c r="D6" s="22"/>
      <c r="E6" s="22"/>
      <c r="G6" s="22"/>
      <c r="H6" s="3">
        <v>678634</v>
      </c>
      <c r="I6" s="22"/>
      <c r="J6" s="3">
        <v>904845</v>
      </c>
      <c r="K6" s="5"/>
    </row>
    <row r="7" spans="1:11" ht="15.75" thickBot="1">
      <c r="A7" s="123"/>
      <c r="B7" s="10"/>
      <c r="C7" s="10"/>
      <c r="D7" s="22"/>
      <c r="E7" s="22"/>
      <c r="G7" s="22"/>
      <c r="H7" s="35">
        <f>H5-H6</f>
        <v>226211</v>
      </c>
      <c r="I7" s="22"/>
      <c r="J7" s="35">
        <f>J5-J6</f>
        <v>1809690</v>
      </c>
      <c r="K7" s="5"/>
    </row>
    <row r="8" spans="1:11" ht="15.75" thickTop="1">
      <c r="A8" s="123"/>
      <c r="B8" s="10"/>
      <c r="C8" s="10"/>
      <c r="D8" s="22"/>
      <c r="E8" s="22"/>
      <c r="G8" s="22"/>
      <c r="I8" s="22"/>
      <c r="J8" s="3"/>
      <c r="K8" s="5"/>
    </row>
    <row r="9" spans="1:11">
      <c r="A9" s="59"/>
      <c r="B9" s="58"/>
      <c r="C9" s="10"/>
      <c r="D9" s="25"/>
      <c r="E9" s="25"/>
      <c r="F9" s="25"/>
      <c r="G9" s="25"/>
      <c r="H9" s="56"/>
      <c r="I9" s="52"/>
      <c r="J9" s="56"/>
      <c r="K9" s="9"/>
    </row>
    <row r="10" spans="1:11">
      <c r="A10" s="59" t="e">
        <f>#REF!+1</f>
        <v>#REF!</v>
      </c>
      <c r="B10" s="6" t="s">
        <v>163</v>
      </c>
      <c r="C10" s="10"/>
      <c r="D10" s="127"/>
      <c r="E10" s="23"/>
      <c r="F10" s="127"/>
      <c r="G10" s="25"/>
      <c r="H10" s="3"/>
      <c r="I10" s="22"/>
      <c r="J10" s="3"/>
      <c r="K10" s="5"/>
    </row>
    <row r="11" spans="1:11">
      <c r="A11" s="59"/>
      <c r="C11" s="10"/>
      <c r="D11" s="25"/>
      <c r="E11" s="25"/>
      <c r="F11" s="25"/>
      <c r="G11" s="25"/>
      <c r="H11" s="25"/>
      <c r="I11" s="22"/>
      <c r="J11" s="22"/>
      <c r="K11" s="22"/>
    </row>
    <row r="12" spans="1:11">
      <c r="A12" s="59"/>
      <c r="B12" s="10" t="s">
        <v>164</v>
      </c>
      <c r="C12" s="133"/>
      <c r="D12" s="62"/>
      <c r="E12" s="25"/>
      <c r="F12" s="62"/>
      <c r="G12" s="62"/>
      <c r="H12" s="134">
        <f>H41</f>
        <v>4500000</v>
      </c>
      <c r="I12" s="22"/>
      <c r="J12" s="135">
        <v>3600000</v>
      </c>
      <c r="K12" s="25"/>
    </row>
    <row r="13" spans="1:11">
      <c r="A13" s="59"/>
      <c r="B13" s="10" t="s">
        <v>165</v>
      </c>
      <c r="C13" s="133"/>
      <c r="D13" s="62"/>
      <c r="E13" s="25"/>
      <c r="F13" s="62"/>
      <c r="G13" s="62"/>
      <c r="H13" s="126">
        <f>H52</f>
        <v>16990996.300000001</v>
      </c>
      <c r="I13" s="22"/>
      <c r="J13" s="129"/>
      <c r="K13" s="25"/>
    </row>
    <row r="14" spans="1:11">
      <c r="A14" s="59"/>
      <c r="B14" s="6" t="s">
        <v>166</v>
      </c>
      <c r="C14" s="133"/>
      <c r="D14" s="62"/>
      <c r="E14" s="25"/>
      <c r="F14" s="62"/>
      <c r="G14" s="62"/>
      <c r="H14" s="8">
        <v>27123668</v>
      </c>
      <c r="I14" s="22"/>
      <c r="J14" s="129">
        <f>13655605</f>
        <v>13655605</v>
      </c>
      <c r="K14" s="25"/>
    </row>
    <row r="15" spans="1:11">
      <c r="A15" s="59"/>
      <c r="B15" s="10" t="s">
        <v>167</v>
      </c>
      <c r="C15" s="133"/>
      <c r="D15" s="62"/>
      <c r="E15" s="25"/>
      <c r="F15" s="62"/>
      <c r="G15" s="62"/>
      <c r="H15" s="128">
        <v>0</v>
      </c>
      <c r="I15" s="22"/>
      <c r="J15" s="128">
        <v>312500</v>
      </c>
      <c r="K15" s="25"/>
    </row>
    <row r="16" spans="1:11">
      <c r="A16" s="59"/>
      <c r="B16" s="17" t="s">
        <v>168</v>
      </c>
      <c r="C16" s="133"/>
      <c r="D16" s="62"/>
      <c r="E16" s="25"/>
      <c r="F16" s="62"/>
      <c r="G16" s="62"/>
      <c r="H16" s="128">
        <v>0</v>
      </c>
      <c r="I16" s="22"/>
      <c r="J16" s="128">
        <v>0</v>
      </c>
      <c r="K16" s="25"/>
    </row>
    <row r="17" spans="1:16">
      <c r="A17" s="59"/>
      <c r="B17" s="17" t="s">
        <v>169</v>
      </c>
      <c r="C17" s="133"/>
      <c r="D17" s="62"/>
      <c r="E17" s="25"/>
      <c r="F17" s="62"/>
      <c r="G17" s="62"/>
      <c r="H17" s="128">
        <f>J17</f>
        <v>870</v>
      </c>
      <c r="I17" s="22"/>
      <c r="J17" s="128">
        <v>870</v>
      </c>
      <c r="K17" s="25"/>
    </row>
    <row r="18" spans="1:16">
      <c r="A18" s="59"/>
      <c r="B18" s="17" t="s">
        <v>170</v>
      </c>
      <c r="C18" s="133"/>
      <c r="D18" s="62"/>
      <c r="E18" s="25"/>
      <c r="F18" s="62"/>
      <c r="G18" s="62"/>
      <c r="H18" s="128">
        <v>67500</v>
      </c>
      <c r="I18" s="22"/>
      <c r="J18" s="128">
        <v>0</v>
      </c>
      <c r="K18" s="25"/>
    </row>
    <row r="19" spans="1:16">
      <c r="A19" s="59"/>
      <c r="B19" s="17" t="s">
        <v>171</v>
      </c>
      <c r="C19" s="133"/>
      <c r="D19" s="62"/>
      <c r="E19" s="25"/>
      <c r="F19" s="62"/>
      <c r="G19" s="62"/>
      <c r="H19" s="128">
        <v>627000</v>
      </c>
      <c r="I19" s="22"/>
      <c r="J19" s="128"/>
      <c r="K19" s="25"/>
    </row>
    <row r="20" spans="1:16">
      <c r="A20" s="59"/>
      <c r="B20" s="17" t="s">
        <v>172</v>
      </c>
      <c r="C20" s="133"/>
      <c r="D20" s="62"/>
      <c r="E20" s="25"/>
      <c r="F20" s="62"/>
      <c r="G20" s="62"/>
      <c r="H20" s="128">
        <v>0</v>
      </c>
      <c r="I20" s="22"/>
      <c r="J20" s="128">
        <v>200000</v>
      </c>
      <c r="K20" s="25"/>
    </row>
    <row r="21" spans="1:16">
      <c r="A21" s="59"/>
      <c r="B21" s="17" t="s">
        <v>173</v>
      </c>
      <c r="C21" s="133"/>
      <c r="D21" s="62"/>
      <c r="E21" s="25"/>
      <c r="F21" s="62"/>
      <c r="G21" s="62"/>
      <c r="H21" s="128">
        <v>0</v>
      </c>
      <c r="I21" s="22">
        <v>0</v>
      </c>
      <c r="J21" s="128">
        <v>20000</v>
      </c>
      <c r="K21" s="136"/>
      <c r="L21" s="136"/>
      <c r="M21" s="136"/>
      <c r="N21" s="136"/>
      <c r="O21" s="136"/>
      <c r="P21" s="25"/>
    </row>
    <row r="22" spans="1:16">
      <c r="A22" s="59"/>
      <c r="B22" s="17" t="s">
        <v>174</v>
      </c>
      <c r="C22" s="133"/>
      <c r="D22" s="62"/>
      <c r="E22" s="25"/>
      <c r="F22" s="62"/>
      <c r="G22" s="62"/>
      <c r="H22" s="128"/>
      <c r="I22" s="22"/>
      <c r="J22" s="128">
        <v>0</v>
      </c>
      <c r="K22" s="136"/>
      <c r="L22" s="136"/>
      <c r="M22" s="136"/>
      <c r="N22" s="136"/>
      <c r="O22" s="136"/>
      <c r="P22" s="25"/>
    </row>
    <row r="23" spans="1:16">
      <c r="A23" s="59"/>
      <c r="B23" s="17" t="s">
        <v>175</v>
      </c>
      <c r="C23" s="133"/>
      <c r="D23" s="62"/>
      <c r="E23" s="25"/>
      <c r="F23" s="62"/>
      <c r="G23" s="62"/>
      <c r="H23" s="128">
        <v>9364</v>
      </c>
      <c r="I23" s="22"/>
      <c r="J23" s="128">
        <v>9364</v>
      </c>
      <c r="K23" s="136"/>
      <c r="L23" s="136"/>
      <c r="M23" s="136"/>
      <c r="N23" s="136"/>
      <c r="O23" s="136"/>
      <c r="P23" s="25"/>
    </row>
    <row r="24" spans="1:16">
      <c r="A24" s="59"/>
      <c r="B24" s="12" t="s">
        <v>176</v>
      </c>
      <c r="C24" s="133"/>
      <c r="D24" s="62"/>
      <c r="E24" s="25"/>
      <c r="F24" s="62"/>
      <c r="G24" s="127"/>
      <c r="H24" s="128">
        <v>181742</v>
      </c>
      <c r="I24" s="22"/>
      <c r="J24" s="131">
        <v>0</v>
      </c>
      <c r="K24" s="25"/>
    </row>
    <row r="25" spans="1:16">
      <c r="A25" s="59"/>
      <c r="B25" s="12"/>
      <c r="C25" s="133"/>
      <c r="D25" s="62"/>
      <c r="E25" s="25"/>
      <c r="F25" s="62"/>
      <c r="G25" s="127"/>
      <c r="H25" s="20"/>
      <c r="I25" s="22"/>
      <c r="J25" s="137"/>
      <c r="K25" s="25"/>
    </row>
    <row r="26" spans="1:16" ht="15.75" thickBot="1">
      <c r="A26" s="59"/>
      <c r="B26" s="138"/>
      <c r="C26" s="10"/>
      <c r="D26" s="25"/>
      <c r="E26" s="25"/>
      <c r="F26" s="25"/>
      <c r="G26" s="127"/>
      <c r="H26" s="139">
        <f>SUM(H12:H24)</f>
        <v>49501140.299999997</v>
      </c>
      <c r="I26" s="25"/>
      <c r="J26" s="139">
        <f>SUM(J12:J25)</f>
        <v>17798339</v>
      </c>
      <c r="K26" s="25"/>
    </row>
    <row r="27" spans="1:16" ht="15.75" thickTop="1">
      <c r="A27" s="59"/>
      <c r="B27" s="138"/>
      <c r="C27" s="10"/>
      <c r="D27" s="25"/>
      <c r="E27" s="25"/>
      <c r="F27" s="25"/>
      <c r="G27" s="127"/>
      <c r="H27" s="136"/>
      <c r="I27" s="25"/>
      <c r="J27" s="136"/>
      <c r="K27" s="25"/>
    </row>
    <row r="28" spans="1:16">
      <c r="A28" s="59"/>
      <c r="B28" s="138"/>
      <c r="C28" s="10"/>
      <c r="D28" s="25"/>
      <c r="E28" s="25"/>
      <c r="F28" s="25"/>
      <c r="G28" s="127"/>
      <c r="H28" s="136"/>
      <c r="I28" s="25"/>
      <c r="J28" s="136"/>
      <c r="K28" s="25"/>
    </row>
    <row r="29" spans="1:16">
      <c r="A29" s="59"/>
      <c r="B29" s="138"/>
      <c r="C29" s="10"/>
      <c r="D29" s="25"/>
      <c r="E29" s="25"/>
      <c r="F29" s="25"/>
      <c r="G29" s="127"/>
      <c r="H29" s="136"/>
      <c r="I29" s="25"/>
      <c r="J29" s="136"/>
      <c r="K29" s="25"/>
    </row>
    <row r="30" spans="1:16">
      <c r="A30" s="59"/>
      <c r="B30" s="138"/>
      <c r="C30" s="10"/>
      <c r="D30" s="25"/>
      <c r="E30" s="25"/>
      <c r="F30" s="25"/>
      <c r="G30" s="127"/>
      <c r="H30" s="136"/>
      <c r="I30" s="25"/>
      <c r="J30" s="136"/>
      <c r="K30" s="25"/>
    </row>
    <row r="31" spans="1:16">
      <c r="A31" s="59"/>
      <c r="B31" s="138"/>
      <c r="C31" s="10"/>
      <c r="D31" s="25"/>
      <c r="E31" s="25"/>
      <c r="F31" s="25"/>
      <c r="G31" s="127"/>
      <c r="H31" s="136"/>
      <c r="I31" s="25"/>
      <c r="J31" s="136"/>
      <c r="K31" s="25"/>
    </row>
    <row r="32" spans="1:16">
      <c r="A32" s="59"/>
      <c r="B32" s="138"/>
      <c r="C32" s="10"/>
      <c r="D32" s="25"/>
      <c r="E32" s="25"/>
      <c r="F32" s="25"/>
      <c r="G32" s="127"/>
      <c r="H32" s="136"/>
      <c r="I32" s="25"/>
      <c r="J32" s="136"/>
      <c r="K32" s="25"/>
    </row>
    <row r="33" spans="1:11">
      <c r="A33" s="59"/>
      <c r="B33" s="138"/>
      <c r="C33" s="10"/>
      <c r="D33" s="25"/>
      <c r="E33" s="25"/>
      <c r="F33" s="25"/>
      <c r="G33" s="127"/>
      <c r="H33" s="136"/>
      <c r="I33" s="25"/>
      <c r="J33" s="136"/>
      <c r="K33" s="25"/>
    </row>
    <row r="34" spans="1:11">
      <c r="A34" s="59"/>
      <c r="B34" s="138"/>
      <c r="C34" s="10"/>
      <c r="D34" s="25"/>
      <c r="E34" s="25"/>
      <c r="F34" s="25"/>
      <c r="G34" s="127"/>
      <c r="H34" s="136"/>
      <c r="I34" s="25"/>
      <c r="J34" s="136"/>
      <c r="K34" s="25"/>
    </row>
    <row r="35" spans="1:11">
      <c r="A35" s="59">
        <v>17.100000000000001</v>
      </c>
      <c r="B35" s="808" t="s">
        <v>177</v>
      </c>
      <c r="C35" s="808"/>
      <c r="D35" s="808"/>
      <c r="E35" s="808"/>
      <c r="F35" s="808"/>
      <c r="G35" s="808"/>
      <c r="H35" s="808"/>
      <c r="I35" s="808"/>
      <c r="J35" s="808"/>
      <c r="K35" s="25"/>
    </row>
    <row r="36" spans="1:11">
      <c r="A36" s="59"/>
      <c r="B36" s="808"/>
      <c r="C36" s="808"/>
      <c r="D36" s="808"/>
      <c r="E36" s="808"/>
      <c r="F36" s="808"/>
      <c r="G36" s="808"/>
      <c r="H36" s="808"/>
      <c r="I36" s="808"/>
      <c r="J36" s="808"/>
      <c r="K36" s="25"/>
    </row>
    <row r="37" spans="1:11">
      <c r="A37" s="59"/>
      <c r="B37" s="808"/>
      <c r="C37" s="808"/>
      <c r="D37" s="808"/>
      <c r="E37" s="808"/>
      <c r="F37" s="808"/>
      <c r="G37" s="808"/>
      <c r="H37" s="808"/>
      <c r="I37" s="808"/>
      <c r="J37" s="808"/>
      <c r="K37" s="25"/>
    </row>
    <row r="38" spans="1:11">
      <c r="A38" s="59"/>
      <c r="B38" s="140"/>
      <c r="C38" s="140"/>
      <c r="D38" s="140"/>
      <c r="E38" s="140"/>
      <c r="F38" s="140"/>
      <c r="G38" s="140"/>
      <c r="H38" s="140"/>
      <c r="I38" s="140"/>
      <c r="J38" s="140"/>
      <c r="K38" s="25"/>
    </row>
    <row r="39" spans="1:11">
      <c r="A39" s="59"/>
      <c r="D39" s="141" t="s">
        <v>178</v>
      </c>
      <c r="E39" s="140"/>
      <c r="F39" s="140"/>
      <c r="G39" s="140"/>
      <c r="H39" s="140">
        <f>J41</f>
        <v>3600000</v>
      </c>
      <c r="I39" s="140"/>
      <c r="J39" s="142">
        <v>2400000</v>
      </c>
      <c r="K39" s="25"/>
    </row>
    <row r="40" spans="1:11">
      <c r="A40" s="59"/>
      <c r="B40" s="140"/>
      <c r="C40" s="140"/>
      <c r="D40" s="141" t="s">
        <v>179</v>
      </c>
      <c r="E40" s="140"/>
      <c r="F40" s="140"/>
      <c r="G40" s="140"/>
      <c r="H40" s="140">
        <v>900000</v>
      </c>
      <c r="I40" s="140"/>
      <c r="J40" s="142">
        <v>1200000</v>
      </c>
      <c r="K40" s="25"/>
    </row>
    <row r="41" spans="1:11" ht="15.75" thickBot="1">
      <c r="C41" s="140"/>
      <c r="D41" s="2" t="s">
        <v>180</v>
      </c>
      <c r="F41" s="140"/>
      <c r="G41" s="140"/>
      <c r="H41" s="143">
        <f>H39+H40</f>
        <v>4500000</v>
      </c>
      <c r="I41" s="140"/>
      <c r="J41" s="144">
        <v>3600000</v>
      </c>
      <c r="K41" s="25"/>
    </row>
    <row r="42" spans="1:11" ht="15.75" thickTop="1">
      <c r="A42" s="59"/>
      <c r="B42" s="138"/>
      <c r="C42" s="10"/>
      <c r="D42" s="25"/>
      <c r="E42" s="25"/>
      <c r="F42" s="25"/>
      <c r="G42" s="127"/>
      <c r="H42" s="136"/>
      <c r="I42" s="25"/>
      <c r="J42" s="9"/>
      <c r="K42" s="25"/>
    </row>
    <row r="43" spans="1:11">
      <c r="A43" s="2"/>
      <c r="B43" s="808" t="s">
        <v>181</v>
      </c>
      <c r="C43" s="808"/>
      <c r="D43" s="808"/>
      <c r="E43" s="808"/>
      <c r="F43" s="808"/>
      <c r="G43" s="808"/>
      <c r="H43" s="808"/>
      <c r="I43" s="808"/>
      <c r="J43" s="808"/>
      <c r="K43" s="25"/>
    </row>
    <row r="44" spans="1:11">
      <c r="A44" s="59">
        <v>17.2</v>
      </c>
      <c r="B44" s="808"/>
      <c r="C44" s="808"/>
      <c r="D44" s="808"/>
      <c r="E44" s="808"/>
      <c r="F44" s="808"/>
      <c r="G44" s="808"/>
      <c r="H44" s="808"/>
      <c r="I44" s="808"/>
      <c r="J44" s="808"/>
      <c r="K44" s="25"/>
    </row>
    <row r="45" spans="1:11">
      <c r="A45" s="59"/>
      <c r="B45" s="808"/>
      <c r="C45" s="808"/>
      <c r="D45" s="808"/>
      <c r="E45" s="808"/>
      <c r="F45" s="808"/>
      <c r="G45" s="808"/>
      <c r="H45" s="808"/>
      <c r="I45" s="808"/>
      <c r="J45" s="808"/>
      <c r="K45" s="25"/>
    </row>
    <row r="46" spans="1:11" ht="45">
      <c r="A46" s="59"/>
      <c r="B46" s="145"/>
      <c r="C46" s="145" t="s">
        <v>182</v>
      </c>
      <c r="D46" s="145"/>
      <c r="E46" s="145"/>
      <c r="F46" s="145" t="s">
        <v>183</v>
      </c>
      <c r="G46" s="146" t="s">
        <v>184</v>
      </c>
      <c r="H46" s="145" t="s">
        <v>185</v>
      </c>
      <c r="I46" s="145"/>
      <c r="J46" s="145"/>
      <c r="K46" s="25"/>
    </row>
    <row r="47" spans="1:11">
      <c r="A47" s="59"/>
      <c r="B47" s="145"/>
      <c r="C47" s="145"/>
      <c r="D47" s="145"/>
      <c r="E47" s="145"/>
      <c r="F47" s="145"/>
      <c r="G47" s="145"/>
      <c r="H47" s="145"/>
      <c r="I47" s="145"/>
      <c r="J47" s="145"/>
      <c r="K47" s="25"/>
    </row>
    <row r="48" spans="1:11">
      <c r="A48" s="59"/>
      <c r="B48" s="10" t="s">
        <v>113</v>
      </c>
      <c r="C48" s="10"/>
      <c r="D48" s="62"/>
      <c r="E48" s="25"/>
      <c r="F48" s="25">
        <v>14692691</v>
      </c>
      <c r="G48" s="127">
        <v>5</v>
      </c>
      <c r="H48" s="147">
        <f>F48*5%</f>
        <v>734634.55</v>
      </c>
      <c r="I48" s="25"/>
      <c r="J48" s="9">
        <v>0</v>
      </c>
      <c r="K48" s="25"/>
    </row>
    <row r="49" spans="1:16">
      <c r="A49" s="59"/>
      <c r="B49" s="58" t="s">
        <v>114</v>
      </c>
      <c r="C49" s="10"/>
      <c r="D49" s="62"/>
      <c r="E49" s="25"/>
      <c r="F49" s="25">
        <v>2331862</v>
      </c>
      <c r="G49" s="127">
        <v>5</v>
      </c>
      <c r="H49" s="147">
        <f>F49*5%</f>
        <v>116593.1</v>
      </c>
      <c r="I49" s="25"/>
      <c r="J49" s="9">
        <v>0</v>
      </c>
      <c r="K49" s="25"/>
    </row>
    <row r="50" spans="1:16">
      <c r="A50" s="59"/>
      <c r="B50" s="2" t="s">
        <v>116</v>
      </c>
      <c r="C50" s="10"/>
      <c r="D50" s="62"/>
      <c r="E50" s="25"/>
      <c r="F50" s="9">
        <v>17024599</v>
      </c>
      <c r="G50" s="127">
        <v>5</v>
      </c>
      <c r="H50" s="147">
        <f>F50*5%</f>
        <v>851229.95000000007</v>
      </c>
      <c r="I50" s="25"/>
      <c r="J50" s="9">
        <v>0</v>
      </c>
      <c r="K50" s="25"/>
    </row>
    <row r="51" spans="1:16">
      <c r="A51" s="59"/>
      <c r="B51" s="2" t="s">
        <v>161</v>
      </c>
      <c r="E51" s="25"/>
      <c r="F51" s="62">
        <v>152885387</v>
      </c>
      <c r="G51" s="127">
        <v>10</v>
      </c>
      <c r="H51" s="147">
        <f>F51*10%</f>
        <v>15288538.700000001</v>
      </c>
      <c r="I51" s="25"/>
      <c r="J51" s="9">
        <v>0</v>
      </c>
      <c r="K51" s="25"/>
    </row>
    <row r="52" spans="1:16" ht="15.75" thickBot="1">
      <c r="A52" s="59"/>
      <c r="B52" s="138"/>
      <c r="C52" s="10"/>
      <c r="D52" s="25"/>
      <c r="E52" s="25"/>
      <c r="F52" s="25"/>
      <c r="G52" s="127"/>
      <c r="H52" s="148">
        <f>SUM(H48:H51)</f>
        <v>16990996.300000001</v>
      </c>
      <c r="I52" s="25"/>
      <c r="J52" s="114">
        <v>0</v>
      </c>
      <c r="K52" s="25"/>
    </row>
    <row r="53" spans="1:16" ht="15.75" thickTop="1">
      <c r="A53" s="59"/>
      <c r="B53" s="138"/>
      <c r="C53" s="10"/>
      <c r="D53" s="25"/>
      <c r="E53" s="25"/>
      <c r="F53" s="25"/>
      <c r="G53" s="127"/>
      <c r="H53" s="136"/>
      <c r="I53" s="25"/>
      <c r="J53" s="9"/>
      <c r="K53" s="25"/>
    </row>
    <row r="54" spans="1:16" ht="15.75" thickBot="1">
      <c r="A54" s="59">
        <v>18</v>
      </c>
      <c r="B54" s="149" t="s">
        <v>15</v>
      </c>
      <c r="C54" s="133"/>
      <c r="D54" s="25"/>
      <c r="E54" s="25"/>
      <c r="F54" s="25"/>
      <c r="G54" s="127"/>
      <c r="H54" s="139">
        <v>2690000</v>
      </c>
      <c r="I54" s="25"/>
      <c r="J54" s="150">
        <v>5160000</v>
      </c>
      <c r="K54" s="25"/>
    </row>
    <row r="55" spans="1:16" ht="15.75" thickTop="1">
      <c r="A55" s="59"/>
      <c r="B55" s="138"/>
      <c r="C55" s="10"/>
      <c r="D55" s="25"/>
      <c r="E55" s="25"/>
      <c r="F55" s="25"/>
      <c r="G55" s="127"/>
      <c r="H55" s="136"/>
      <c r="I55" s="25"/>
      <c r="J55" s="9"/>
      <c r="K55" s="25"/>
    </row>
    <row r="56" spans="1:16">
      <c r="A56" s="59"/>
      <c r="B56" s="808" t="s">
        <v>186</v>
      </c>
      <c r="C56" s="808"/>
      <c r="D56" s="808"/>
      <c r="E56" s="808"/>
      <c r="F56" s="808"/>
      <c r="G56" s="808"/>
      <c r="H56" s="808"/>
      <c r="I56" s="808"/>
      <c r="J56" s="808"/>
      <c r="K56" s="25"/>
    </row>
    <row r="57" spans="1:16">
      <c r="A57" s="59"/>
      <c r="B57" s="808"/>
      <c r="C57" s="808"/>
      <c r="D57" s="808"/>
      <c r="E57" s="808"/>
      <c r="F57" s="808"/>
      <c r="G57" s="808"/>
      <c r="H57" s="808"/>
      <c r="I57" s="808"/>
      <c r="J57" s="808"/>
      <c r="K57" s="25"/>
    </row>
    <row r="58" spans="1:16">
      <c r="A58" s="59"/>
      <c r="B58" s="808"/>
      <c r="C58" s="808"/>
      <c r="D58" s="808"/>
      <c r="E58" s="808"/>
      <c r="F58" s="808"/>
      <c r="G58" s="808"/>
      <c r="H58" s="808"/>
      <c r="I58" s="808"/>
      <c r="J58" s="808"/>
      <c r="K58" s="25"/>
    </row>
    <row r="59" spans="1:16">
      <c r="A59" s="59"/>
      <c r="B59" s="138"/>
      <c r="C59" s="10"/>
      <c r="D59" s="25"/>
      <c r="E59" s="25"/>
      <c r="F59" s="140"/>
      <c r="G59" s="127"/>
      <c r="K59" s="25"/>
    </row>
    <row r="60" spans="1:16">
      <c r="A60" s="59"/>
      <c r="B60" s="138"/>
      <c r="C60" s="10"/>
      <c r="D60" s="25"/>
      <c r="E60" s="25"/>
      <c r="F60" s="140"/>
      <c r="G60" s="127"/>
      <c r="H60" s="56" t="s">
        <v>51</v>
      </c>
      <c r="I60" s="52"/>
      <c r="J60" s="56" t="s">
        <v>187</v>
      </c>
      <c r="K60" s="25"/>
    </row>
    <row r="61" spans="1:16">
      <c r="A61" s="59"/>
      <c r="B61" s="138"/>
      <c r="C61" s="10"/>
      <c r="D61" s="25"/>
      <c r="E61" s="25"/>
      <c r="F61" s="140"/>
      <c r="G61" s="127"/>
      <c r="H61" s="3" t="s">
        <v>1</v>
      </c>
      <c r="I61" s="22"/>
      <c r="J61" s="3" t="s">
        <v>1</v>
      </c>
      <c r="K61" s="25"/>
    </row>
    <row r="62" spans="1:16">
      <c r="A62" s="59"/>
      <c r="B62" s="138"/>
      <c r="C62" s="10"/>
      <c r="D62" s="25"/>
      <c r="E62" s="25"/>
      <c r="F62" s="140"/>
      <c r="G62" s="127"/>
      <c r="H62" s="3"/>
      <c r="I62" s="22"/>
      <c r="J62" s="3"/>
      <c r="K62" s="25"/>
    </row>
    <row r="63" spans="1:16" ht="15.75" thickBot="1">
      <c r="A63" s="59">
        <v>19</v>
      </c>
      <c r="B63" s="58" t="s">
        <v>19</v>
      </c>
      <c r="C63" s="10"/>
      <c r="D63" s="25"/>
      <c r="E63" s="25"/>
      <c r="F63" s="25"/>
      <c r="G63" s="127"/>
      <c r="H63" s="139">
        <f>46813192-6132558</f>
        <v>40680634</v>
      </c>
      <c r="I63" s="25"/>
      <c r="J63" s="150">
        <v>38298050</v>
      </c>
      <c r="K63" s="9"/>
      <c r="L63" s="9"/>
      <c r="M63" s="9"/>
      <c r="N63" s="9"/>
      <c r="O63" s="9"/>
      <c r="P63" s="25"/>
    </row>
    <row r="64" spans="1:16" ht="15.75" thickTop="1">
      <c r="A64" s="59"/>
      <c r="B64" s="58"/>
      <c r="C64" s="10"/>
      <c r="D64" s="25"/>
      <c r="E64" s="25"/>
      <c r="F64" s="25"/>
      <c r="G64" s="127"/>
      <c r="H64" s="136"/>
      <c r="I64" s="25"/>
      <c r="J64" s="9"/>
      <c r="K64" s="9"/>
      <c r="L64" s="9"/>
      <c r="M64" s="9"/>
      <c r="N64" s="9"/>
      <c r="O64" s="9"/>
      <c r="P64" s="25"/>
    </row>
    <row r="65" spans="1:256">
      <c r="A65" s="59"/>
      <c r="B65" s="808" t="s">
        <v>188</v>
      </c>
      <c r="C65" s="808"/>
      <c r="D65" s="808"/>
      <c r="E65" s="808"/>
      <c r="F65" s="808"/>
      <c r="G65" s="808"/>
      <c r="H65" s="808"/>
      <c r="I65" s="808"/>
      <c r="J65" s="808"/>
      <c r="K65" s="9"/>
      <c r="L65" s="9"/>
      <c r="M65" s="9"/>
      <c r="N65" s="9">
        <v>0</v>
      </c>
      <c r="O65" s="9"/>
      <c r="P65" s="25"/>
    </row>
    <row r="66" spans="1:256">
      <c r="A66" s="59"/>
      <c r="B66" s="808"/>
      <c r="C66" s="808"/>
      <c r="D66" s="808"/>
      <c r="E66" s="808"/>
      <c r="F66" s="808"/>
      <c r="G66" s="808"/>
      <c r="H66" s="808"/>
      <c r="I66" s="808"/>
      <c r="J66" s="808"/>
      <c r="K66" s="9"/>
      <c r="L66" s="9"/>
      <c r="M66" s="9"/>
      <c r="N66" s="9"/>
      <c r="O66" s="9"/>
      <c r="P66" s="25"/>
    </row>
    <row r="67" spans="1:256">
      <c r="A67" s="59"/>
      <c r="B67" s="808"/>
      <c r="C67" s="808"/>
      <c r="D67" s="808"/>
      <c r="E67" s="808"/>
      <c r="F67" s="808"/>
      <c r="G67" s="808"/>
      <c r="H67" s="808"/>
      <c r="I67" s="808"/>
      <c r="J67" s="808"/>
      <c r="K67" s="25"/>
    </row>
    <row r="68" spans="1:256">
      <c r="A68" s="59"/>
      <c r="B68" s="151"/>
      <c r="C68" s="151"/>
      <c r="D68" s="151"/>
      <c r="E68" s="151"/>
      <c r="F68" s="151"/>
      <c r="G68" s="151"/>
      <c r="H68" s="151"/>
      <c r="I68" s="151"/>
      <c r="J68" s="151"/>
      <c r="K68" s="25"/>
    </row>
    <row r="69" spans="1:256">
      <c r="A69" s="57">
        <f>A63+1</f>
        <v>20</v>
      </c>
      <c r="B69" s="17" t="s">
        <v>20</v>
      </c>
      <c r="C69" s="10"/>
      <c r="D69" s="130"/>
      <c r="F69" s="130"/>
      <c r="G69" s="22"/>
      <c r="H69" s="130"/>
      <c r="I69" s="22"/>
      <c r="J69" s="3"/>
    </row>
    <row r="70" spans="1:256">
      <c r="A70" s="57"/>
      <c r="B70" s="58"/>
      <c r="C70" s="10"/>
      <c r="D70" s="130"/>
      <c r="F70" s="130"/>
      <c r="G70" s="22"/>
      <c r="H70" s="130" t="s">
        <v>305</v>
      </c>
      <c r="I70" s="22"/>
      <c r="J70" s="130" t="s">
        <v>306</v>
      </c>
      <c r="K70" s="5"/>
      <c r="L70" s="177" t="s">
        <v>302</v>
      </c>
      <c r="N70" s="177" t="s">
        <v>301</v>
      </c>
    </row>
    <row r="71" spans="1:256">
      <c r="A71" s="57"/>
      <c r="B71" s="10" t="s">
        <v>189</v>
      </c>
      <c r="C71" s="10"/>
      <c r="D71" s="130"/>
      <c r="F71" s="130"/>
      <c r="G71" s="22"/>
      <c r="H71" s="5">
        <f>F207</f>
        <v>18517725</v>
      </c>
      <c r="I71" s="22"/>
      <c r="J71" s="5">
        <v>15883605</v>
      </c>
      <c r="K71" s="5"/>
      <c r="L71" s="130">
        <f>Q207</f>
        <v>4479541</v>
      </c>
      <c r="M71" s="130"/>
      <c r="N71" s="5">
        <v>4899901</v>
      </c>
      <c r="O71" s="2">
        <f>L71-N71</f>
        <v>-420360</v>
      </c>
    </row>
    <row r="72" spans="1:256">
      <c r="A72" s="57"/>
      <c r="B72" s="10" t="s">
        <v>190</v>
      </c>
      <c r="C72" s="10"/>
      <c r="D72" s="124"/>
      <c r="F72" s="130"/>
      <c r="G72" s="22"/>
      <c r="H72" s="5">
        <v>5344762</v>
      </c>
      <c r="I72" s="22"/>
      <c r="J72" s="3">
        <v>900000</v>
      </c>
      <c r="K72" s="5"/>
      <c r="L72" s="3">
        <v>2004750</v>
      </c>
      <c r="M72" s="130"/>
      <c r="N72" s="3">
        <v>300000</v>
      </c>
      <c r="O72" s="2">
        <f t="shared" ref="O72:O86" si="0">L72-N72</f>
        <v>1704750</v>
      </c>
    </row>
    <row r="73" spans="1:256">
      <c r="A73" s="57"/>
      <c r="B73" s="58" t="s">
        <v>191</v>
      </c>
      <c r="C73" s="10"/>
      <c r="F73" s="130"/>
      <c r="G73" s="22"/>
      <c r="H73" s="5">
        <f>F194</f>
        <v>3634621</v>
      </c>
      <c r="I73" s="22"/>
      <c r="J73" s="3">
        <v>2337774</v>
      </c>
      <c r="K73" s="5"/>
      <c r="L73" s="130">
        <f>L194</f>
        <v>1220644</v>
      </c>
      <c r="M73" s="130"/>
      <c r="N73" s="3">
        <v>1223722</v>
      </c>
      <c r="O73" s="2">
        <f t="shared" si="0"/>
        <v>-3078</v>
      </c>
    </row>
    <row r="74" spans="1:256">
      <c r="A74" s="57"/>
      <c r="B74" s="58" t="s">
        <v>192</v>
      </c>
      <c r="C74" s="10"/>
      <c r="F74" s="130"/>
      <c r="G74" s="22"/>
      <c r="H74" s="5">
        <v>1060328</v>
      </c>
      <c r="I74" s="22"/>
      <c r="J74" s="2">
        <v>515260</v>
      </c>
      <c r="K74" s="5"/>
      <c r="L74" s="130">
        <v>326094</v>
      </c>
      <c r="M74" s="130"/>
      <c r="N74" s="2">
        <v>240576</v>
      </c>
      <c r="O74" s="2">
        <f t="shared" si="0"/>
        <v>85518</v>
      </c>
    </row>
    <row r="75" spans="1:256">
      <c r="A75" s="57"/>
      <c r="B75" s="58" t="s">
        <v>193</v>
      </c>
      <c r="C75" s="10"/>
      <c r="D75" s="124"/>
      <c r="F75" s="130"/>
      <c r="G75" s="22"/>
      <c r="H75" s="5">
        <v>455000</v>
      </c>
      <c r="I75" s="22"/>
      <c r="J75" s="3">
        <v>241295</v>
      </c>
      <c r="K75" s="5"/>
      <c r="L75" s="130">
        <v>304000</v>
      </c>
      <c r="M75" s="130"/>
      <c r="N75" s="3">
        <v>85500</v>
      </c>
      <c r="O75" s="2">
        <f t="shared" si="0"/>
        <v>218500</v>
      </c>
    </row>
    <row r="76" spans="1:256">
      <c r="A76" s="17"/>
      <c r="B76" s="17" t="s">
        <v>194</v>
      </c>
      <c r="C76" s="17"/>
      <c r="D76" s="17"/>
      <c r="E76" s="17"/>
      <c r="F76" s="17"/>
      <c r="G76" s="17"/>
      <c r="H76" s="152">
        <v>751831</v>
      </c>
      <c r="I76" s="17"/>
      <c r="J76" s="9">
        <v>194950</v>
      </c>
      <c r="K76" s="17"/>
      <c r="L76" s="152">
        <v>398921</v>
      </c>
      <c r="M76" s="17"/>
      <c r="N76" s="9">
        <v>50901</v>
      </c>
      <c r="O76" s="2">
        <f t="shared" si="0"/>
        <v>348020</v>
      </c>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c r="HB76" s="17"/>
      <c r="HC76" s="17"/>
      <c r="HD76" s="17"/>
      <c r="HE76" s="17"/>
      <c r="HF76" s="17"/>
      <c r="HG76" s="17"/>
      <c r="HH76" s="17"/>
      <c r="HI76" s="17"/>
      <c r="HJ76" s="17"/>
      <c r="HK76" s="17"/>
      <c r="HL76" s="17"/>
      <c r="HM76" s="17"/>
      <c r="HN76" s="17"/>
      <c r="HO76" s="17"/>
      <c r="HP76" s="17"/>
      <c r="HQ76" s="17"/>
      <c r="HR76" s="17"/>
      <c r="HS76" s="17"/>
      <c r="HT76" s="17"/>
      <c r="HU76" s="17"/>
      <c r="HV76" s="17"/>
      <c r="HW76" s="17"/>
      <c r="HX76" s="17"/>
      <c r="HY76" s="17"/>
      <c r="HZ76" s="17"/>
      <c r="IA76" s="17"/>
      <c r="IB76" s="17"/>
      <c r="IC76" s="17"/>
      <c r="ID76" s="17"/>
      <c r="IE76" s="17"/>
      <c r="IF76" s="17"/>
      <c r="IG76" s="17"/>
      <c r="IH76" s="17"/>
      <c r="II76" s="17"/>
      <c r="IJ76" s="17"/>
      <c r="IK76" s="17"/>
      <c r="IL76" s="17"/>
      <c r="IM76" s="17"/>
      <c r="IN76" s="17"/>
      <c r="IO76" s="17"/>
      <c r="IP76" s="17"/>
      <c r="IQ76" s="17"/>
      <c r="IR76" s="17"/>
      <c r="IS76" s="17"/>
      <c r="IT76" s="17"/>
      <c r="IU76" s="17"/>
      <c r="IV76" s="17"/>
    </row>
    <row r="77" spans="1:256">
      <c r="A77" s="57"/>
      <c r="B77" s="58" t="s">
        <v>195</v>
      </c>
      <c r="C77" s="10"/>
      <c r="D77" s="124"/>
      <c r="F77" s="130"/>
      <c r="G77" s="22"/>
      <c r="H77" s="5">
        <v>949240</v>
      </c>
      <c r="I77" s="22"/>
      <c r="J77" s="3">
        <v>864199</v>
      </c>
      <c r="K77" s="5"/>
      <c r="L77" s="130">
        <v>334831</v>
      </c>
      <c r="M77" s="130"/>
      <c r="N77" s="3">
        <v>282393</v>
      </c>
      <c r="O77" s="2">
        <f t="shared" si="0"/>
        <v>52438</v>
      </c>
    </row>
    <row r="78" spans="1:256">
      <c r="A78" s="57"/>
      <c r="B78" s="58" t="s">
        <v>196</v>
      </c>
      <c r="C78" s="10"/>
      <c r="D78" s="124"/>
      <c r="F78" s="130"/>
      <c r="G78" s="22"/>
      <c r="H78" s="5"/>
      <c r="I78" s="22"/>
      <c r="J78" s="3"/>
      <c r="K78" s="5"/>
      <c r="L78" s="130"/>
      <c r="M78" s="130"/>
      <c r="N78" s="3"/>
      <c r="O78" s="2">
        <f t="shared" si="0"/>
        <v>0</v>
      </c>
    </row>
    <row r="79" spans="1:256">
      <c r="A79" s="57"/>
      <c r="B79" s="10" t="s">
        <v>197</v>
      </c>
      <c r="C79" s="10"/>
      <c r="D79" s="124"/>
      <c r="F79" s="130"/>
      <c r="G79" s="22"/>
      <c r="H79" s="5">
        <v>785862</v>
      </c>
      <c r="I79" s="22"/>
      <c r="J79" s="3">
        <v>997043</v>
      </c>
      <c r="K79" s="5"/>
      <c r="L79" s="130">
        <v>291414</v>
      </c>
      <c r="M79" s="130"/>
      <c r="N79" s="3">
        <v>446354</v>
      </c>
      <c r="O79" s="2">
        <f t="shared" si="0"/>
        <v>-154940</v>
      </c>
    </row>
    <row r="80" spans="1:256">
      <c r="A80" s="57"/>
      <c r="B80" s="10" t="s">
        <v>198</v>
      </c>
      <c r="C80" s="10"/>
      <c r="D80" s="124"/>
      <c r="F80" s="130"/>
      <c r="G80" s="22"/>
      <c r="H80" s="5">
        <v>393758</v>
      </c>
      <c r="I80" s="22"/>
      <c r="J80" s="3">
        <v>458690</v>
      </c>
      <c r="K80" s="5"/>
      <c r="L80" s="130">
        <v>187538</v>
      </c>
      <c r="M80" s="130"/>
      <c r="N80" s="3">
        <v>106459</v>
      </c>
      <c r="O80" s="2">
        <f t="shared" si="0"/>
        <v>81079</v>
      </c>
    </row>
    <row r="81" spans="1:15">
      <c r="A81" s="57"/>
      <c r="B81" s="10" t="s">
        <v>199</v>
      </c>
      <c r="C81" s="10"/>
      <c r="D81" s="124"/>
      <c r="F81" s="130"/>
      <c r="G81" s="22"/>
      <c r="H81" s="5">
        <v>107146</v>
      </c>
      <c r="I81" s="22"/>
      <c r="J81" s="3">
        <v>24099</v>
      </c>
      <c r="K81" s="5"/>
      <c r="L81" s="130">
        <v>89847</v>
      </c>
      <c r="M81" s="130"/>
      <c r="N81" s="3">
        <v>9560</v>
      </c>
      <c r="O81" s="2">
        <f t="shared" si="0"/>
        <v>80287</v>
      </c>
    </row>
    <row r="82" spans="1:15">
      <c r="A82" s="57"/>
      <c r="B82" s="10" t="s">
        <v>200</v>
      </c>
      <c r="C82" s="10"/>
      <c r="D82" s="124"/>
      <c r="F82" s="130"/>
      <c r="G82" s="22"/>
      <c r="H82" s="5">
        <v>503937</v>
      </c>
      <c r="I82" s="22"/>
      <c r="J82" s="21">
        <v>324946</v>
      </c>
      <c r="K82" s="5"/>
      <c r="L82" s="130">
        <v>196757</v>
      </c>
      <c r="M82" s="130"/>
      <c r="N82" s="21">
        <v>105034</v>
      </c>
      <c r="O82" s="2">
        <f t="shared" si="0"/>
        <v>91723</v>
      </c>
    </row>
    <row r="83" spans="1:15">
      <c r="A83" s="57"/>
      <c r="B83" s="10" t="s">
        <v>307</v>
      </c>
      <c r="C83" s="10"/>
      <c r="D83" s="124"/>
      <c r="F83" s="130"/>
      <c r="G83" s="22"/>
      <c r="H83" s="5">
        <v>2922326</v>
      </c>
      <c r="I83" s="22"/>
      <c r="J83" s="21">
        <v>190316</v>
      </c>
      <c r="K83" s="5"/>
      <c r="L83" s="130">
        <v>15000</v>
      </c>
      <c r="M83" s="130"/>
      <c r="N83" s="21"/>
      <c r="O83" s="2">
        <f t="shared" si="0"/>
        <v>15000</v>
      </c>
    </row>
    <row r="84" spans="1:15">
      <c r="A84" s="57"/>
      <c r="B84" s="10" t="s">
        <v>201</v>
      </c>
      <c r="C84" s="10"/>
      <c r="D84" s="124"/>
      <c r="F84" s="130"/>
      <c r="G84" s="22"/>
      <c r="H84" s="5">
        <v>271444</v>
      </c>
      <c r="I84" s="22"/>
      <c r="J84" s="21">
        <v>89941</v>
      </c>
      <c r="K84" s="5"/>
      <c r="L84" s="130">
        <v>134822</v>
      </c>
      <c r="M84" s="130"/>
      <c r="N84" s="21">
        <v>28886</v>
      </c>
      <c r="O84" s="2">
        <f t="shared" si="0"/>
        <v>105936</v>
      </c>
    </row>
    <row r="85" spans="1:15">
      <c r="A85" s="57"/>
      <c r="B85" s="12" t="s">
        <v>202</v>
      </c>
      <c r="C85" s="10"/>
      <c r="D85" s="124"/>
      <c r="F85" s="130"/>
      <c r="G85" s="22"/>
      <c r="H85" s="5">
        <v>69662</v>
      </c>
      <c r="I85" s="22"/>
      <c r="J85" s="21">
        <v>1071</v>
      </c>
      <c r="K85" s="5"/>
      <c r="L85" s="130">
        <v>67539</v>
      </c>
      <c r="M85" s="130"/>
      <c r="N85" s="21"/>
      <c r="O85" s="2">
        <f t="shared" si="0"/>
        <v>67539</v>
      </c>
    </row>
    <row r="86" spans="1:15" ht="15.75" thickBot="1">
      <c r="A86" s="59"/>
      <c r="B86" s="10"/>
      <c r="C86" s="10"/>
      <c r="D86" s="130"/>
      <c r="F86" s="130"/>
      <c r="G86" s="22"/>
      <c r="H86" s="35">
        <f>SUM(H71:H85)</f>
        <v>35767642</v>
      </c>
      <c r="I86" s="22"/>
      <c r="J86" s="35">
        <f>SUM(J71:J85)</f>
        <v>23023189</v>
      </c>
      <c r="K86" s="5"/>
      <c r="L86" s="34">
        <f>SUM(L71:L85)</f>
        <v>10051698</v>
      </c>
      <c r="M86" s="22"/>
      <c r="N86" s="35">
        <f>SUM(N71:N84)</f>
        <v>7779286</v>
      </c>
      <c r="O86" s="2">
        <f t="shared" si="0"/>
        <v>2272412</v>
      </c>
    </row>
    <row r="87" spans="1:15" ht="15.75" thickTop="1">
      <c r="A87" s="59"/>
      <c r="B87" s="10"/>
      <c r="C87" s="10"/>
      <c r="D87" s="130"/>
      <c r="F87" s="130"/>
      <c r="G87" s="22"/>
      <c r="H87" s="21"/>
      <c r="I87" s="22"/>
      <c r="J87" s="21"/>
      <c r="K87" s="5"/>
      <c r="L87" s="22"/>
      <c r="M87" s="22"/>
    </row>
    <row r="88" spans="1:15">
      <c r="A88" s="59"/>
      <c r="B88" s="10"/>
      <c r="C88" s="10"/>
      <c r="D88" s="130"/>
      <c r="F88" s="130"/>
      <c r="G88" s="22"/>
      <c r="H88" s="21"/>
      <c r="I88" s="22"/>
      <c r="J88" s="21"/>
      <c r="K88" s="5"/>
      <c r="L88" s="22"/>
      <c r="M88" s="22"/>
    </row>
    <row r="89" spans="1:15">
      <c r="A89" s="59"/>
      <c r="B89" s="10"/>
      <c r="C89" s="10"/>
      <c r="D89" s="130"/>
      <c r="F89" s="130"/>
      <c r="G89" s="22"/>
      <c r="H89" s="21"/>
      <c r="I89" s="22"/>
      <c r="J89" s="21"/>
      <c r="K89" s="5"/>
      <c r="L89" s="22"/>
      <c r="M89" s="22"/>
    </row>
    <row r="90" spans="1:15">
      <c r="A90" s="59"/>
      <c r="B90" s="10"/>
      <c r="C90" s="10"/>
      <c r="D90" s="130"/>
      <c r="F90" s="130"/>
      <c r="G90" s="22"/>
      <c r="H90" s="21"/>
      <c r="I90" s="22"/>
      <c r="J90" s="21"/>
      <c r="K90" s="5"/>
      <c r="L90" s="22"/>
      <c r="M90" s="22"/>
    </row>
    <row r="91" spans="1:15">
      <c r="A91" s="59"/>
      <c r="B91" s="10"/>
      <c r="C91" s="10"/>
      <c r="D91" s="130"/>
      <c r="F91" s="130"/>
      <c r="G91" s="22"/>
      <c r="H91" s="21"/>
      <c r="I91" s="22"/>
      <c r="J91" s="21"/>
      <c r="K91" s="5"/>
      <c r="L91" s="22"/>
      <c r="M91" s="22"/>
    </row>
    <row r="92" spans="1:15">
      <c r="A92" s="59"/>
      <c r="B92" s="10"/>
      <c r="C92" s="10"/>
      <c r="D92" s="130"/>
      <c r="F92" s="130"/>
      <c r="G92" s="22"/>
      <c r="H92" s="21"/>
      <c r="I92" s="22"/>
      <c r="J92" s="21"/>
      <c r="K92" s="5"/>
      <c r="L92" s="22"/>
      <c r="M92" s="22"/>
    </row>
    <row r="93" spans="1:15">
      <c r="A93" s="57">
        <v>21</v>
      </c>
      <c r="B93" s="10" t="s">
        <v>203</v>
      </c>
      <c r="C93" s="10"/>
      <c r="D93" s="130"/>
      <c r="E93" s="22"/>
      <c r="F93" s="25"/>
      <c r="G93" s="130"/>
      <c r="H93" s="2"/>
      <c r="K93" s="5"/>
    </row>
    <row r="94" spans="1:15">
      <c r="A94" s="57"/>
      <c r="B94" s="10"/>
      <c r="C94" s="10"/>
      <c r="D94" s="130"/>
      <c r="E94" s="22"/>
      <c r="F94" s="25"/>
      <c r="G94" s="130"/>
      <c r="H94" s="130"/>
      <c r="I94" s="22"/>
      <c r="J94" s="3"/>
      <c r="K94" s="5"/>
    </row>
    <row r="95" spans="1:15">
      <c r="A95" s="59"/>
      <c r="B95" s="10" t="s">
        <v>204</v>
      </c>
      <c r="C95" s="10"/>
      <c r="D95" s="25"/>
      <c r="E95" s="25"/>
      <c r="F95" s="25"/>
      <c r="G95" s="25"/>
      <c r="H95" s="28">
        <v>188000</v>
      </c>
      <c r="I95" s="22"/>
      <c r="J95" s="134">
        <v>1555000</v>
      </c>
      <c r="K95" s="22"/>
    </row>
    <row r="96" spans="1:15">
      <c r="A96" s="59"/>
      <c r="B96" s="10" t="s">
        <v>205</v>
      </c>
      <c r="C96" s="10"/>
      <c r="D96" s="25"/>
      <c r="E96" s="25"/>
      <c r="G96" s="25"/>
      <c r="H96" s="30">
        <v>10819374</v>
      </c>
      <c r="I96" s="22"/>
      <c r="J96" s="128">
        <v>8172533</v>
      </c>
      <c r="K96" s="22"/>
    </row>
    <row r="97" spans="1:12">
      <c r="A97" s="59"/>
      <c r="B97" s="10" t="s">
        <v>206</v>
      </c>
      <c r="C97" s="10"/>
      <c r="D97" s="25"/>
      <c r="E97" s="25"/>
      <c r="G97" s="25"/>
      <c r="H97" s="30">
        <v>36750</v>
      </c>
      <c r="I97" s="22"/>
      <c r="J97" s="128"/>
      <c r="K97" s="22"/>
    </row>
    <row r="98" spans="1:12" ht="15.75" thickBot="1">
      <c r="A98" s="59"/>
      <c r="B98" s="10"/>
      <c r="C98" s="10"/>
      <c r="D98" s="25"/>
      <c r="E98" s="25"/>
      <c r="F98" s="25"/>
      <c r="G98" s="25"/>
      <c r="H98" s="114">
        <f>SUM(H95:H97)</f>
        <v>11044124</v>
      </c>
      <c r="I98" s="22"/>
      <c r="J98" s="114">
        <f>SUM(J95:J96)</f>
        <v>9727533</v>
      </c>
      <c r="K98" s="22"/>
      <c r="L98" s="2">
        <f>H98*45%</f>
        <v>4969855.8</v>
      </c>
    </row>
    <row r="99" spans="1:12" ht="15.75" thickTop="1"/>
    <row r="100" spans="1:12">
      <c r="A100" s="52">
        <v>22</v>
      </c>
      <c r="B100" s="2" t="s">
        <v>207</v>
      </c>
      <c r="C100" s="61"/>
      <c r="D100" s="61"/>
      <c r="E100" s="61"/>
      <c r="F100" s="61"/>
      <c r="G100" s="61"/>
      <c r="H100" s="61"/>
      <c r="I100" s="61"/>
      <c r="J100" s="61"/>
      <c r="K100" s="61"/>
      <c r="L100" s="2">
        <v>87509170</v>
      </c>
    </row>
    <row r="102" spans="1:12">
      <c r="A102" s="153">
        <v>22.1</v>
      </c>
      <c r="B102" s="2" t="s">
        <v>208</v>
      </c>
      <c r="C102" s="61"/>
      <c r="D102" s="61"/>
      <c r="E102" s="61"/>
      <c r="F102" s="61"/>
      <c r="G102" s="61"/>
      <c r="I102" s="61"/>
      <c r="K102" s="61"/>
      <c r="L102" s="2">
        <v>67314640</v>
      </c>
    </row>
    <row r="103" spans="1:12">
      <c r="A103" s="153"/>
      <c r="C103" s="61"/>
      <c r="D103" s="61"/>
      <c r="E103" s="61"/>
      <c r="F103" s="61"/>
      <c r="G103" s="61"/>
      <c r="H103" s="61"/>
      <c r="I103" s="61"/>
      <c r="J103" s="61"/>
      <c r="K103" s="61"/>
    </row>
    <row r="104" spans="1:12">
      <c r="A104" s="153"/>
      <c r="B104" s="2" t="s">
        <v>209</v>
      </c>
      <c r="C104" s="61"/>
      <c r="D104" s="61"/>
      <c r="E104" s="61"/>
      <c r="F104" s="61"/>
      <c r="G104" s="61"/>
      <c r="H104" s="154">
        <v>315545618.67158699</v>
      </c>
      <c r="I104" s="61"/>
      <c r="J104" s="154">
        <v>172962243</v>
      </c>
      <c r="K104" s="61"/>
    </row>
    <row r="105" spans="1:12">
      <c r="A105" s="153"/>
      <c r="B105" s="2" t="s">
        <v>210</v>
      </c>
      <c r="C105" s="91"/>
      <c r="D105" s="91"/>
      <c r="E105" s="91"/>
      <c r="F105" s="91"/>
      <c r="G105" s="91"/>
      <c r="H105" s="155">
        <v>87509170</v>
      </c>
      <c r="I105" s="91"/>
      <c r="J105" s="155">
        <v>87509170</v>
      </c>
      <c r="K105" s="61"/>
      <c r="L105" s="2">
        <f>L102*0.3</f>
        <v>20194392</v>
      </c>
    </row>
    <row r="106" spans="1:12" ht="15.75" thickBot="1">
      <c r="A106" s="153"/>
      <c r="B106" s="2" t="s">
        <v>211</v>
      </c>
      <c r="C106" s="91"/>
      <c r="D106" s="91"/>
      <c r="E106" s="91"/>
      <c r="F106" s="91"/>
      <c r="G106" s="91"/>
      <c r="H106" s="156">
        <f>H104/H105</f>
        <v>3.6058577480689964</v>
      </c>
      <c r="I106" s="91"/>
      <c r="J106" s="156">
        <f>J104/J105</f>
        <v>1.9765042109301232</v>
      </c>
      <c r="K106" s="61"/>
    </row>
    <row r="107" spans="1:12" ht="15.75" thickTop="1">
      <c r="A107" s="153"/>
      <c r="B107" s="61"/>
      <c r="C107" s="61"/>
      <c r="D107" s="61"/>
      <c r="E107" s="61"/>
      <c r="F107" s="61"/>
      <c r="G107" s="61"/>
      <c r="H107" s="61"/>
      <c r="I107" s="61"/>
      <c r="J107" s="61"/>
      <c r="K107" s="61"/>
    </row>
    <row r="108" spans="1:12" ht="15.75" thickBot="1">
      <c r="A108" s="153">
        <v>22.2</v>
      </c>
      <c r="B108" s="2" t="s">
        <v>212</v>
      </c>
      <c r="C108" s="61"/>
      <c r="D108" s="61"/>
      <c r="E108" s="61"/>
      <c r="F108" s="61"/>
      <c r="G108" s="61"/>
      <c r="H108" s="157"/>
      <c r="I108" s="158"/>
      <c r="J108" s="157"/>
      <c r="K108" s="61"/>
    </row>
    <row r="109" spans="1:12" ht="15.75" thickTop="1">
      <c r="A109" s="153"/>
      <c r="C109" s="61"/>
      <c r="D109" s="61"/>
      <c r="E109" s="61"/>
      <c r="F109" s="61"/>
      <c r="G109" s="61"/>
      <c r="H109" s="61"/>
      <c r="I109" s="61"/>
      <c r="J109" s="61"/>
      <c r="K109" s="61"/>
    </row>
    <row r="110" spans="1:12">
      <c r="A110" s="153"/>
      <c r="B110" s="808" t="s">
        <v>213</v>
      </c>
      <c r="C110" s="808"/>
      <c r="D110" s="808"/>
      <c r="E110" s="808"/>
      <c r="F110" s="808"/>
      <c r="G110" s="808"/>
      <c r="H110" s="808"/>
      <c r="I110" s="808"/>
      <c r="J110" s="808"/>
      <c r="K110" s="61"/>
    </row>
    <row r="111" spans="1:12">
      <c r="B111" s="808"/>
      <c r="C111" s="808"/>
      <c r="D111" s="808"/>
      <c r="E111" s="808"/>
      <c r="F111" s="808"/>
      <c r="G111" s="808"/>
      <c r="H111" s="808"/>
      <c r="I111" s="808"/>
      <c r="J111" s="808"/>
    </row>
    <row r="112" spans="1:12">
      <c r="B112" s="61"/>
      <c r="C112" s="61"/>
      <c r="D112" s="61"/>
      <c r="E112" s="61"/>
      <c r="F112" s="61"/>
      <c r="G112" s="61"/>
      <c r="H112" s="61"/>
      <c r="I112" s="61"/>
      <c r="J112" s="61"/>
    </row>
    <row r="113" spans="1:11">
      <c r="A113" s="55">
        <v>22.3</v>
      </c>
      <c r="B113" s="808" t="s">
        <v>214</v>
      </c>
      <c r="C113" s="808"/>
      <c r="D113" s="808"/>
      <c r="E113" s="808"/>
      <c r="F113" s="808"/>
      <c r="G113" s="61"/>
      <c r="H113" s="61"/>
      <c r="I113" s="61"/>
      <c r="J113" s="61"/>
    </row>
    <row r="114" spans="1:11">
      <c r="B114" s="61"/>
      <c r="C114" s="61"/>
      <c r="D114" s="61"/>
      <c r="E114" s="61"/>
      <c r="F114" s="61"/>
      <c r="G114" s="61"/>
      <c r="H114" s="61"/>
      <c r="I114" s="61"/>
      <c r="J114" s="61"/>
    </row>
    <row r="115" spans="1:11">
      <c r="B115" s="61"/>
      <c r="C115" s="61"/>
      <c r="D115" s="61"/>
      <c r="E115" s="61"/>
      <c r="F115" s="808" t="s">
        <v>51</v>
      </c>
      <c r="G115" s="808"/>
      <c r="H115" s="808" t="s">
        <v>52</v>
      </c>
      <c r="I115" s="808"/>
      <c r="J115" s="808"/>
    </row>
    <row r="116" spans="1:11">
      <c r="A116" s="52">
        <v>23</v>
      </c>
      <c r="B116" s="2" t="s">
        <v>215</v>
      </c>
      <c r="C116" s="61"/>
      <c r="D116" s="61"/>
      <c r="E116" s="61"/>
      <c r="F116" s="83" t="s">
        <v>216</v>
      </c>
      <c r="G116" s="52" t="s">
        <v>217</v>
      </c>
      <c r="H116" s="83" t="s">
        <v>216</v>
      </c>
      <c r="I116" s="61"/>
      <c r="J116" s="52" t="s">
        <v>217</v>
      </c>
      <c r="K116" s="2">
        <f>F119/F118*100</f>
        <v>30.63529411764706</v>
      </c>
    </row>
    <row r="117" spans="1:11">
      <c r="C117" s="61"/>
      <c r="D117" s="61"/>
      <c r="E117" s="61"/>
      <c r="F117" s="61"/>
      <c r="G117" s="83" t="s">
        <v>218</v>
      </c>
      <c r="H117" s="61"/>
      <c r="I117" s="61"/>
      <c r="J117" s="83" t="s">
        <v>218</v>
      </c>
    </row>
    <row r="118" spans="1:11" ht="30">
      <c r="C118" s="61" t="s">
        <v>219</v>
      </c>
      <c r="D118" s="61"/>
      <c r="E118" s="61"/>
      <c r="F118" s="159">
        <v>85</v>
      </c>
      <c r="G118" s="61"/>
      <c r="H118" s="159">
        <v>44.6</v>
      </c>
      <c r="I118" s="61"/>
      <c r="J118" s="61"/>
    </row>
    <row r="119" spans="1:11" ht="45">
      <c r="B119" s="61"/>
      <c r="C119" s="2" t="s">
        <v>220</v>
      </c>
      <c r="D119" s="61"/>
      <c r="E119" s="61"/>
      <c r="F119" s="160">
        <v>26.04</v>
      </c>
      <c r="G119" s="161">
        <v>0.31</v>
      </c>
      <c r="H119" s="160">
        <v>21.86</v>
      </c>
      <c r="I119" s="161">
        <f>H119/H118</f>
        <v>0.49013452914798206</v>
      </c>
      <c r="J119" s="161">
        <f>H119/H118</f>
        <v>0.49013452914798206</v>
      </c>
    </row>
    <row r="120" spans="1:11">
      <c r="B120" s="61"/>
      <c r="D120" s="61"/>
      <c r="E120" s="61"/>
      <c r="F120" s="61"/>
      <c r="G120" s="61"/>
      <c r="H120" s="61"/>
      <c r="I120" s="61"/>
      <c r="J120" s="61"/>
    </row>
    <row r="121" spans="1:11">
      <c r="B121" s="61"/>
      <c r="D121" s="61"/>
      <c r="E121" s="61"/>
      <c r="F121" s="61"/>
      <c r="G121" s="61"/>
      <c r="H121" s="56">
        <v>2011</v>
      </c>
      <c r="I121" s="52"/>
      <c r="J121" s="56">
        <v>2010</v>
      </c>
    </row>
    <row r="122" spans="1:11" s="1" customFormat="1">
      <c r="A122" s="53">
        <v>24</v>
      </c>
      <c r="B122" s="4" t="s">
        <v>221</v>
      </c>
      <c r="C122" s="4"/>
      <c r="D122" s="4"/>
      <c r="E122" s="4"/>
      <c r="F122" s="4"/>
      <c r="G122" s="4"/>
      <c r="H122" s="3" t="s">
        <v>222</v>
      </c>
      <c r="I122" s="5"/>
      <c r="J122" s="3" t="s">
        <v>222</v>
      </c>
    </row>
    <row r="123" spans="1:11">
      <c r="B123" s="61"/>
      <c r="D123" s="61"/>
      <c r="E123" s="61"/>
      <c r="F123" s="61"/>
      <c r="G123" s="61"/>
      <c r="H123" s="61"/>
      <c r="I123" s="61"/>
      <c r="J123" s="61"/>
    </row>
    <row r="124" spans="1:11">
      <c r="B124" s="4" t="s">
        <v>223</v>
      </c>
      <c r="C124" s="4"/>
      <c r="D124" s="4"/>
      <c r="E124" s="61"/>
      <c r="F124" s="61"/>
      <c r="G124" s="61"/>
      <c r="H124" s="61"/>
      <c r="I124" s="61"/>
      <c r="J124" s="61"/>
    </row>
    <row r="125" spans="1:11">
      <c r="B125" s="61"/>
      <c r="D125" s="61"/>
      <c r="E125" s="61"/>
      <c r="F125" s="61"/>
      <c r="G125" s="61"/>
      <c r="H125" s="61"/>
      <c r="I125" s="61"/>
      <c r="J125" s="61"/>
    </row>
    <row r="126" spans="1:11">
      <c r="B126" s="61"/>
      <c r="C126" s="4" t="s">
        <v>19</v>
      </c>
      <c r="D126" s="61"/>
      <c r="E126" s="61"/>
      <c r="F126" s="61"/>
      <c r="G126" s="61"/>
      <c r="H126" s="95">
        <v>1005610</v>
      </c>
      <c r="I126" s="61"/>
      <c r="J126" s="154">
        <v>872031</v>
      </c>
    </row>
    <row r="127" spans="1:11">
      <c r="B127" s="61"/>
      <c r="C127" s="2" t="s">
        <v>224</v>
      </c>
      <c r="D127" s="61"/>
      <c r="E127" s="61"/>
      <c r="F127" s="61"/>
      <c r="G127" s="61"/>
      <c r="H127" s="95">
        <v>393356</v>
      </c>
      <c r="I127" s="61"/>
      <c r="J127" s="154">
        <v>207514</v>
      </c>
    </row>
    <row r="128" spans="1:11">
      <c r="B128" s="61"/>
      <c r="C128" s="2" t="s">
        <v>225</v>
      </c>
      <c r="D128" s="61"/>
      <c r="E128" s="61"/>
      <c r="F128" s="61"/>
      <c r="G128" s="61"/>
      <c r="H128" s="95">
        <v>3061633</v>
      </c>
      <c r="I128" s="61"/>
      <c r="J128" s="154">
        <v>3061632</v>
      </c>
    </row>
    <row r="129" spans="1:11">
      <c r="B129" s="61"/>
      <c r="C129" s="2" t="s">
        <v>226</v>
      </c>
      <c r="D129" s="61"/>
      <c r="E129" s="61"/>
      <c r="F129" s="61"/>
      <c r="G129" s="61"/>
      <c r="H129" s="162">
        <v>0</v>
      </c>
      <c r="I129" s="61"/>
      <c r="J129" s="163">
        <v>7000000</v>
      </c>
    </row>
    <row r="130" spans="1:11" ht="15.75" thickBot="1">
      <c r="B130" s="61"/>
      <c r="D130" s="61"/>
      <c r="E130" s="61"/>
      <c r="F130" s="61"/>
      <c r="G130" s="61"/>
      <c r="H130" s="164">
        <f>SUM(H126:H129)</f>
        <v>4460599</v>
      </c>
      <c r="I130" s="154"/>
      <c r="J130" s="164">
        <v>11141177</v>
      </c>
    </row>
    <row r="131" spans="1:11" ht="15.75" thickTop="1">
      <c r="A131" s="52">
        <v>25</v>
      </c>
      <c r="B131" s="4" t="s">
        <v>227</v>
      </c>
    </row>
    <row r="133" spans="1:11">
      <c r="B133" s="808" t="s">
        <v>228</v>
      </c>
      <c r="C133" s="808"/>
      <c r="D133" s="808"/>
      <c r="E133" s="808"/>
      <c r="F133" s="808"/>
      <c r="G133" s="808"/>
      <c r="H133" s="808"/>
      <c r="I133" s="808"/>
      <c r="J133" s="808"/>
      <c r="K133" s="808"/>
    </row>
    <row r="134" spans="1:11">
      <c r="B134" s="808"/>
      <c r="C134" s="808"/>
      <c r="D134" s="808"/>
      <c r="E134" s="808"/>
      <c r="F134" s="808"/>
      <c r="G134" s="808"/>
      <c r="H134" s="808"/>
      <c r="I134" s="808"/>
      <c r="J134" s="808"/>
      <c r="K134" s="808"/>
    </row>
    <row r="135" spans="1:11">
      <c r="B135" s="74"/>
      <c r="C135" s="74"/>
      <c r="D135" s="74"/>
      <c r="E135" s="74"/>
      <c r="F135" s="74"/>
      <c r="G135" s="74"/>
      <c r="H135" s="74"/>
      <c r="I135" s="74"/>
      <c r="J135" s="74"/>
      <c r="K135" s="74"/>
    </row>
    <row r="136" spans="1:11">
      <c r="B136" s="61"/>
      <c r="C136" s="61"/>
      <c r="D136" s="61"/>
      <c r="E136" s="61"/>
      <c r="F136" s="61"/>
      <c r="G136" s="61"/>
      <c r="H136" s="56">
        <v>2011</v>
      </c>
      <c r="I136" s="52"/>
      <c r="J136" s="56">
        <v>2011</v>
      </c>
      <c r="K136" s="61"/>
    </row>
    <row r="137" spans="1:11">
      <c r="A137" s="52">
        <f>A131+1</f>
        <v>26</v>
      </c>
      <c r="B137" s="2" t="s">
        <v>229</v>
      </c>
      <c r="C137" s="61"/>
      <c r="D137" s="61"/>
      <c r="E137" s="61"/>
      <c r="F137" s="61"/>
      <c r="G137" s="61"/>
      <c r="H137" s="3" t="s">
        <v>1</v>
      </c>
      <c r="I137" s="22"/>
      <c r="J137" s="3" t="s">
        <v>1</v>
      </c>
      <c r="K137" s="61"/>
    </row>
    <row r="138" spans="1:11">
      <c r="C138" s="61"/>
      <c r="D138" s="61"/>
      <c r="E138" s="61"/>
      <c r="F138" s="61"/>
      <c r="G138" s="61"/>
      <c r="H138" s="61"/>
      <c r="I138" s="61"/>
      <c r="J138" s="61"/>
      <c r="K138" s="61"/>
    </row>
    <row r="139" spans="1:11" ht="15.75" thickBot="1">
      <c r="B139" s="2" t="s">
        <v>230</v>
      </c>
      <c r="C139" s="61"/>
      <c r="D139" s="61"/>
      <c r="E139" s="61"/>
      <c r="F139" s="61"/>
      <c r="G139" s="61"/>
      <c r="H139" s="165" t="s">
        <v>231</v>
      </c>
      <c r="I139" s="61"/>
      <c r="J139" s="165" t="s">
        <v>231</v>
      </c>
      <c r="K139" s="61"/>
    </row>
    <row r="140" spans="1:11" ht="15.75" thickTop="1">
      <c r="C140" s="61"/>
      <c r="D140" s="61"/>
      <c r="E140" s="61"/>
      <c r="F140" s="61"/>
      <c r="G140" s="61"/>
      <c r="H140" s="89"/>
      <c r="I140" s="61"/>
      <c r="J140" s="89"/>
      <c r="K140" s="61"/>
    </row>
    <row r="141" spans="1:11">
      <c r="C141" s="61"/>
      <c r="D141" s="61"/>
      <c r="E141" s="61"/>
      <c r="F141" s="61"/>
      <c r="G141" s="61"/>
      <c r="H141" s="2"/>
      <c r="I141" s="61"/>
      <c r="K141" s="61"/>
    </row>
    <row r="142" spans="1:11" ht="15.75" thickBot="1">
      <c r="B142" s="2" t="s">
        <v>232</v>
      </c>
      <c r="C142" s="61"/>
      <c r="D142" s="61"/>
      <c r="E142" s="61"/>
      <c r="F142" s="61"/>
      <c r="G142" s="61"/>
      <c r="H142" s="165" t="s">
        <v>231</v>
      </c>
      <c r="I142" s="61"/>
      <c r="J142" s="165" t="s">
        <v>231</v>
      </c>
      <c r="K142" s="61"/>
    </row>
    <row r="143" spans="1:11" ht="15.75" thickTop="1">
      <c r="C143" s="61"/>
      <c r="D143" s="61"/>
      <c r="E143" s="61"/>
      <c r="F143" s="61"/>
      <c r="G143" s="61"/>
      <c r="H143" s="2"/>
      <c r="I143" s="61"/>
      <c r="K143" s="61"/>
    </row>
    <row r="144" spans="1:11" ht="15.75" thickBot="1">
      <c r="B144" s="2" t="s">
        <v>233</v>
      </c>
      <c r="C144" s="61"/>
      <c r="D144" s="61"/>
      <c r="E144" s="61"/>
      <c r="F144" s="61"/>
      <c r="G144" s="61"/>
      <c r="H144" s="165">
        <v>106330</v>
      </c>
      <c r="I144" s="61"/>
      <c r="J144" s="165">
        <f>64400+32200+32200</f>
        <v>128800</v>
      </c>
      <c r="K144" s="61"/>
    </row>
    <row r="145" spans="1:11" ht="15.75" thickTop="1">
      <c r="C145" s="61"/>
      <c r="D145" s="61"/>
      <c r="E145" s="61"/>
      <c r="F145" s="61"/>
      <c r="G145" s="61"/>
      <c r="H145" s="89"/>
      <c r="I145" s="61"/>
      <c r="J145" s="89"/>
      <c r="K145" s="61"/>
    </row>
    <row r="146" spans="1:11" ht="15.75" thickBot="1">
      <c r="A146" s="52">
        <v>27</v>
      </c>
      <c r="B146" s="2" t="s">
        <v>234</v>
      </c>
      <c r="C146" s="61"/>
      <c r="D146" s="61"/>
      <c r="E146" s="61"/>
      <c r="F146" s="61"/>
      <c r="G146" s="61"/>
      <c r="H146" s="165">
        <v>205820251</v>
      </c>
      <c r="I146" s="61"/>
      <c r="J146" s="166">
        <v>0</v>
      </c>
      <c r="K146" s="61"/>
    </row>
    <row r="147" spans="1:11" ht="15.75" thickTop="1">
      <c r="C147" s="61"/>
      <c r="D147" s="61"/>
      <c r="E147" s="61"/>
      <c r="F147" s="61"/>
      <c r="G147" s="61"/>
      <c r="H147" s="89"/>
      <c r="I147" s="61"/>
      <c r="J147" s="89"/>
      <c r="K147" s="61"/>
    </row>
    <row r="148" spans="1:11">
      <c r="B148" s="2" t="s">
        <v>235</v>
      </c>
      <c r="C148" s="61"/>
      <c r="D148" s="61"/>
      <c r="E148" s="61"/>
      <c r="F148" s="61"/>
      <c r="G148" s="61"/>
      <c r="H148" s="89"/>
      <c r="I148" s="61"/>
      <c r="J148" s="89"/>
      <c r="K148" s="61"/>
    </row>
    <row r="149" spans="1:11">
      <c r="B149" s="2" t="s">
        <v>236</v>
      </c>
      <c r="C149" s="61"/>
      <c r="D149" s="61"/>
      <c r="E149" s="61"/>
      <c r="F149" s="61"/>
      <c r="G149" s="61"/>
      <c r="H149" s="89"/>
      <c r="I149" s="61"/>
      <c r="J149" s="89"/>
      <c r="K149" s="61"/>
    </row>
    <row r="150" spans="1:11">
      <c r="C150" s="61">
        <v>2012</v>
      </c>
      <c r="D150" s="61"/>
      <c r="E150" s="61"/>
      <c r="F150" s="61"/>
      <c r="G150" s="61"/>
      <c r="H150" s="89"/>
      <c r="I150" s="61"/>
      <c r="J150" s="89"/>
      <c r="K150" s="61"/>
    </row>
    <row r="151" spans="1:11">
      <c r="C151" s="61"/>
      <c r="D151" s="61"/>
      <c r="E151" s="61"/>
      <c r="F151" s="61"/>
      <c r="G151" s="61"/>
      <c r="H151" s="89"/>
      <c r="I151" s="61"/>
      <c r="J151" s="89"/>
      <c r="K151" s="61"/>
    </row>
    <row r="152" spans="1:11">
      <c r="C152" s="61"/>
      <c r="D152" s="61"/>
      <c r="E152" s="61"/>
      <c r="F152" s="61"/>
      <c r="G152" s="61"/>
      <c r="H152" s="89"/>
      <c r="I152" s="61"/>
      <c r="J152" s="89"/>
      <c r="K152" s="61"/>
    </row>
    <row r="153" spans="1:11">
      <c r="C153" s="61"/>
      <c r="D153" s="61"/>
      <c r="E153" s="61"/>
      <c r="F153" s="61"/>
      <c r="G153" s="61"/>
      <c r="H153" s="89"/>
      <c r="I153" s="61"/>
      <c r="J153" s="89"/>
      <c r="K153" s="61"/>
    </row>
    <row r="154" spans="1:11">
      <c r="C154" s="61"/>
      <c r="D154" s="61"/>
      <c r="E154" s="61"/>
      <c r="F154" s="61"/>
      <c r="G154" s="61"/>
      <c r="H154" s="89"/>
      <c r="I154" s="61"/>
      <c r="J154" s="89"/>
      <c r="K154" s="61"/>
    </row>
    <row r="155" spans="1:11">
      <c r="C155" s="61"/>
      <c r="D155" s="61"/>
      <c r="E155" s="61"/>
      <c r="F155" s="61"/>
      <c r="G155" s="61"/>
      <c r="H155" s="89"/>
      <c r="I155" s="61"/>
      <c r="J155" s="89"/>
      <c r="K155" s="61"/>
    </row>
    <row r="156" spans="1:11">
      <c r="C156" s="61"/>
      <c r="D156" s="61"/>
      <c r="E156" s="61"/>
      <c r="F156" s="61"/>
      <c r="G156" s="61"/>
      <c r="H156" s="89"/>
      <c r="I156" s="61"/>
      <c r="J156" s="89"/>
      <c r="K156" s="61"/>
    </row>
    <row r="157" spans="1:11">
      <c r="C157" s="61"/>
      <c r="D157" s="61"/>
      <c r="E157" s="61"/>
      <c r="F157" s="61"/>
      <c r="G157" s="61"/>
      <c r="H157" s="89"/>
      <c r="I157" s="61"/>
      <c r="J157" s="89"/>
      <c r="K157" s="61"/>
    </row>
    <row r="158" spans="1:11">
      <c r="C158" s="61"/>
      <c r="D158" s="61"/>
      <c r="E158" s="61"/>
      <c r="F158" s="61"/>
      <c r="G158" s="61"/>
      <c r="H158" s="89"/>
      <c r="I158" s="61"/>
      <c r="J158" s="89"/>
      <c r="K158" s="61"/>
    </row>
    <row r="159" spans="1:11">
      <c r="C159" s="61"/>
      <c r="D159" s="61"/>
      <c r="E159" s="61"/>
      <c r="F159" s="61"/>
      <c r="G159" s="61"/>
      <c r="H159" s="89"/>
      <c r="I159" s="61"/>
      <c r="J159" s="89"/>
      <c r="K159" s="61"/>
    </row>
    <row r="160" spans="1:11">
      <c r="C160" s="61"/>
      <c r="D160" s="61"/>
      <c r="E160" s="61"/>
      <c r="F160" s="61"/>
      <c r="G160" s="61"/>
      <c r="H160" s="89"/>
      <c r="I160" s="61"/>
      <c r="J160" s="89"/>
      <c r="K160" s="61"/>
    </row>
    <row r="161" spans="1:11">
      <c r="C161" s="61"/>
      <c r="D161" s="61"/>
      <c r="E161" s="61"/>
      <c r="F161" s="61"/>
      <c r="G161" s="61"/>
      <c r="H161" s="89"/>
      <c r="I161" s="61"/>
      <c r="J161" s="89"/>
      <c r="K161" s="61"/>
    </row>
    <row r="162" spans="1:11">
      <c r="C162" s="61"/>
      <c r="D162" s="61"/>
      <c r="E162" s="61"/>
      <c r="F162" s="61"/>
      <c r="G162" s="61"/>
      <c r="H162" s="89"/>
      <c r="I162" s="61"/>
      <c r="J162" s="89"/>
      <c r="K162" s="61"/>
    </row>
    <row r="163" spans="1:11">
      <c r="C163" s="61"/>
      <c r="D163" s="61"/>
      <c r="E163" s="61"/>
      <c r="F163" s="61"/>
      <c r="G163" s="61"/>
      <c r="H163" s="89"/>
      <c r="I163" s="61"/>
      <c r="J163" s="89"/>
      <c r="K163" s="61"/>
    </row>
    <row r="164" spans="1:11">
      <c r="C164" s="61"/>
      <c r="D164" s="61"/>
      <c r="E164" s="61"/>
      <c r="F164" s="61"/>
      <c r="G164" s="61"/>
      <c r="H164" s="89"/>
      <c r="I164" s="61"/>
      <c r="J164" s="89"/>
      <c r="K164" s="61"/>
    </row>
    <row r="165" spans="1:11">
      <c r="C165" s="61"/>
      <c r="D165" s="61"/>
      <c r="E165" s="61"/>
      <c r="F165" s="61"/>
      <c r="G165" s="61"/>
      <c r="H165" s="89"/>
      <c r="I165" s="61"/>
      <c r="J165" s="89"/>
      <c r="K165" s="61"/>
    </row>
    <row r="166" spans="1:11">
      <c r="C166" s="61"/>
      <c r="D166" s="61"/>
      <c r="E166" s="61"/>
      <c r="F166" s="61"/>
      <c r="G166" s="61"/>
      <c r="H166" s="89"/>
      <c r="I166" s="61"/>
      <c r="J166" s="89"/>
      <c r="K166" s="61"/>
    </row>
    <row r="167" spans="1:11">
      <c r="C167" s="61"/>
      <c r="D167" s="61"/>
      <c r="E167" s="61"/>
      <c r="F167" s="61"/>
      <c r="G167" s="61"/>
      <c r="H167" s="89"/>
      <c r="I167" s="61"/>
      <c r="J167" s="89"/>
      <c r="K167" s="61"/>
    </row>
    <row r="168" spans="1:11">
      <c r="C168" s="61"/>
      <c r="D168" s="61"/>
      <c r="E168" s="61"/>
      <c r="F168" s="61"/>
      <c r="G168" s="61"/>
      <c r="H168" s="89"/>
      <c r="I168" s="61"/>
      <c r="J168" s="89"/>
      <c r="K168" s="61"/>
    </row>
    <row r="169" spans="1:11">
      <c r="D169" s="61"/>
      <c r="E169" s="61"/>
      <c r="F169" s="61"/>
      <c r="G169" s="61"/>
      <c r="H169" s="61"/>
      <c r="I169" s="61"/>
      <c r="K169" s="61"/>
    </row>
    <row r="170" spans="1:11">
      <c r="D170" s="61"/>
      <c r="E170" s="61"/>
      <c r="F170" s="61"/>
      <c r="G170" s="61"/>
      <c r="H170" s="61"/>
      <c r="I170" s="61"/>
      <c r="K170" s="61"/>
    </row>
    <row r="171" spans="1:11">
      <c r="A171" s="2"/>
      <c r="H171" s="23"/>
      <c r="I171" s="23"/>
      <c r="K171" s="61"/>
    </row>
    <row r="172" spans="1:11">
      <c r="B172" s="52"/>
      <c r="C172" s="23"/>
      <c r="F172" s="23"/>
      <c r="J172" s="23"/>
      <c r="K172" s="61"/>
    </row>
    <row r="173" spans="1:11">
      <c r="C173" s="52"/>
      <c r="E173" s="61"/>
      <c r="F173" s="83"/>
      <c r="G173" s="61"/>
      <c r="I173" s="89"/>
      <c r="J173" s="89"/>
      <c r="K173" s="61"/>
    </row>
    <row r="174" spans="1:11">
      <c r="A174" s="2"/>
      <c r="H174" s="2"/>
      <c r="K174" s="61"/>
    </row>
    <row r="177" spans="1:18">
      <c r="B177" s="808"/>
      <c r="C177" s="808"/>
      <c r="D177" s="808"/>
      <c r="E177" s="808"/>
      <c r="F177" s="808"/>
      <c r="G177" s="808"/>
      <c r="H177" s="808"/>
      <c r="I177" s="808"/>
      <c r="J177" s="808"/>
      <c r="K177" s="808"/>
    </row>
    <row r="178" spans="1:18">
      <c r="B178" s="808"/>
      <c r="C178" s="808"/>
      <c r="D178" s="808"/>
      <c r="E178" s="808"/>
      <c r="F178" s="808"/>
      <c r="G178" s="808"/>
      <c r="H178" s="808"/>
      <c r="I178" s="808"/>
      <c r="J178" s="808"/>
      <c r="K178" s="808"/>
    </row>
    <row r="179" spans="1:18">
      <c r="B179" s="61"/>
      <c r="C179" s="61"/>
      <c r="D179" s="61"/>
      <c r="E179" s="61"/>
      <c r="F179" s="61"/>
      <c r="G179" s="61"/>
      <c r="H179" s="61"/>
      <c r="I179" s="61"/>
      <c r="J179" s="61"/>
      <c r="K179" s="61"/>
    </row>
    <row r="180" spans="1:18">
      <c r="C180" s="61"/>
      <c r="D180" s="61"/>
      <c r="E180" s="61"/>
      <c r="F180" s="61"/>
      <c r="G180" s="61"/>
      <c r="H180" s="61"/>
      <c r="I180" s="61"/>
      <c r="J180" s="61"/>
      <c r="K180" s="61"/>
    </row>
    <row r="181" spans="1:18">
      <c r="B181" s="61"/>
      <c r="C181" s="61"/>
      <c r="D181" s="61"/>
      <c r="E181" s="61"/>
      <c r="F181" s="61"/>
      <c r="G181" s="61"/>
      <c r="H181" s="61"/>
      <c r="I181" s="61"/>
      <c r="J181" s="61"/>
      <c r="K181" s="61"/>
    </row>
    <row r="182" spans="1:18">
      <c r="A182" s="153"/>
      <c r="B182" s="2" t="s">
        <v>304</v>
      </c>
      <c r="I182" s="61"/>
      <c r="J182" s="61"/>
      <c r="K182" s="61"/>
      <c r="R182" s="61"/>
    </row>
    <row r="183" spans="1:18">
      <c r="H183" s="2" t="s">
        <v>304</v>
      </c>
    </row>
    <row r="184" spans="1:18">
      <c r="B184" s="2" t="s">
        <v>237</v>
      </c>
      <c r="F184" s="169">
        <v>598752</v>
      </c>
      <c r="H184" s="2" t="s">
        <v>237</v>
      </c>
      <c r="L184" s="169">
        <v>329800</v>
      </c>
    </row>
    <row r="185" spans="1:18">
      <c r="B185" s="2" t="s">
        <v>238</v>
      </c>
      <c r="F185" s="168">
        <v>112524</v>
      </c>
      <c r="H185" s="2" t="s">
        <v>238</v>
      </c>
      <c r="L185" s="168">
        <v>50470</v>
      </c>
    </row>
    <row r="186" spans="1:18">
      <c r="B186" s="2" t="s">
        <v>239</v>
      </c>
      <c r="F186" s="168">
        <v>2686</v>
      </c>
      <c r="H186" s="2" t="s">
        <v>239</v>
      </c>
      <c r="L186" s="168">
        <v>2686</v>
      </c>
    </row>
    <row r="187" spans="1:18">
      <c r="B187" s="2" t="s">
        <v>240</v>
      </c>
      <c r="F187" s="168">
        <v>122481</v>
      </c>
      <c r="H187" s="2" t="s">
        <v>240</v>
      </c>
      <c r="L187" s="168">
        <v>33670</v>
      </c>
    </row>
    <row r="188" spans="1:18">
      <c r="A188" s="2"/>
      <c r="B188" s="2" t="s">
        <v>241</v>
      </c>
      <c r="F188" s="30">
        <v>56181</v>
      </c>
      <c r="H188" s="2" t="s">
        <v>241</v>
      </c>
      <c r="L188" s="30">
        <v>35721</v>
      </c>
    </row>
    <row r="189" spans="1:18">
      <c r="A189" s="2"/>
      <c r="B189" s="2" t="s">
        <v>242</v>
      </c>
      <c r="F189" s="168">
        <v>1089528</v>
      </c>
      <c r="H189" s="2" t="s">
        <v>242</v>
      </c>
      <c r="L189" s="168">
        <v>103000</v>
      </c>
    </row>
    <row r="190" spans="1:18">
      <c r="A190" s="2"/>
      <c r="B190" s="2" t="s">
        <v>243</v>
      </c>
      <c r="F190" s="168">
        <v>229506</v>
      </c>
      <c r="H190" s="2" t="s">
        <v>243</v>
      </c>
      <c r="L190" s="168">
        <v>212050</v>
      </c>
    </row>
    <row r="191" spans="1:18">
      <c r="A191" s="2"/>
      <c r="B191" s="2" t="s">
        <v>244</v>
      </c>
      <c r="F191" s="168">
        <v>663095</v>
      </c>
      <c r="H191" s="2" t="s">
        <v>244</v>
      </c>
      <c r="L191" s="168">
        <v>123110</v>
      </c>
    </row>
    <row r="192" spans="1:18">
      <c r="A192" s="2"/>
      <c r="B192" s="2" t="s">
        <v>245</v>
      </c>
      <c r="F192" s="168">
        <v>109074</v>
      </c>
      <c r="H192" s="2" t="s">
        <v>245</v>
      </c>
      <c r="L192" s="168">
        <v>28745</v>
      </c>
    </row>
    <row r="193" spans="1:17">
      <c r="A193" s="2"/>
      <c r="B193" s="2" t="s">
        <v>246</v>
      </c>
      <c r="F193" s="31">
        <v>650794</v>
      </c>
      <c r="H193" s="2" t="s">
        <v>246</v>
      </c>
      <c r="L193" s="31">
        <v>301392</v>
      </c>
    </row>
    <row r="194" spans="1:17" ht="15.75" thickBot="1">
      <c r="A194" s="2"/>
      <c r="F194" s="34">
        <f>SUM(F184:F193)</f>
        <v>3634621</v>
      </c>
      <c r="H194" s="2"/>
      <c r="L194" s="34">
        <f>SUM(L184:L193)</f>
        <v>1220644</v>
      </c>
    </row>
    <row r="195" spans="1:17" ht="15.75" thickTop="1">
      <c r="A195" s="2"/>
    </row>
    <row r="196" spans="1:17">
      <c r="A196" s="2"/>
      <c r="H196" s="2"/>
    </row>
    <row r="197" spans="1:17">
      <c r="A197" s="2"/>
      <c r="H197" s="2"/>
    </row>
    <row r="198" spans="1:17">
      <c r="A198" s="2"/>
      <c r="B198" s="2" t="s">
        <v>303</v>
      </c>
      <c r="F198" s="22"/>
      <c r="L198" s="2" t="s">
        <v>303</v>
      </c>
    </row>
    <row r="199" spans="1:17">
      <c r="A199" s="2"/>
      <c r="F199" s="22"/>
    </row>
    <row r="200" spans="1:17">
      <c r="A200" s="2"/>
      <c r="B200" s="2" t="s">
        <v>247</v>
      </c>
      <c r="F200" s="167">
        <v>232474</v>
      </c>
      <c r="L200" s="2" t="s">
        <v>247</v>
      </c>
      <c r="Q200" s="167"/>
    </row>
    <row r="201" spans="1:17">
      <c r="A201" s="2"/>
      <c r="B201" s="2" t="s">
        <v>248</v>
      </c>
      <c r="F201" s="168"/>
      <c r="L201" s="2" t="s">
        <v>248</v>
      </c>
      <c r="Q201" s="168"/>
    </row>
    <row r="202" spans="1:17">
      <c r="A202" s="2"/>
      <c r="B202" s="2" t="s">
        <v>249</v>
      </c>
      <c r="F202" s="168">
        <v>1952868</v>
      </c>
      <c r="L202" s="2" t="s">
        <v>249</v>
      </c>
      <c r="Q202" s="168"/>
    </row>
    <row r="203" spans="1:17">
      <c r="A203" s="2"/>
      <c r="B203" s="2" t="s">
        <v>250</v>
      </c>
      <c r="F203" s="168"/>
      <c r="L203" s="2" t="s">
        <v>250</v>
      </c>
      <c r="Q203" s="168"/>
    </row>
    <row r="204" spans="1:17">
      <c r="B204" s="2" t="s">
        <v>251</v>
      </c>
      <c r="F204" s="168">
        <v>162205</v>
      </c>
      <c r="L204" s="2" t="s">
        <v>251</v>
      </c>
      <c r="Q204" s="168">
        <v>54258</v>
      </c>
    </row>
    <row r="205" spans="1:17">
      <c r="B205" s="2" t="s">
        <v>252</v>
      </c>
      <c r="F205" s="168">
        <f>14688517</f>
        <v>14688517</v>
      </c>
      <c r="L205" s="2" t="s">
        <v>252</v>
      </c>
      <c r="Q205" s="168">
        <v>4116962</v>
      </c>
    </row>
    <row r="206" spans="1:17">
      <c r="B206" s="2" t="s">
        <v>253</v>
      </c>
      <c r="F206" s="31">
        <v>1481661</v>
      </c>
      <c r="L206" s="2" t="s">
        <v>253</v>
      </c>
      <c r="Q206" s="31">
        <v>308321</v>
      </c>
    </row>
    <row r="207" spans="1:17" ht="15.75" thickBot="1">
      <c r="B207" s="2" t="s">
        <v>254</v>
      </c>
      <c r="F207" s="26">
        <f>SUM(F200:F206)</f>
        <v>18517725</v>
      </c>
      <c r="L207" s="2" t="s">
        <v>254</v>
      </c>
      <c r="Q207" s="26">
        <f>SUM(Q200:Q206)</f>
        <v>4479541</v>
      </c>
    </row>
    <row r="208" spans="1:17" ht="15.75" thickTop="1">
      <c r="H208" s="2"/>
    </row>
  </sheetData>
  <mergeCells count="10">
    <mergeCell ref="B56:J58"/>
    <mergeCell ref="B35:J37"/>
    <mergeCell ref="B43:J45"/>
    <mergeCell ref="B177:K178"/>
    <mergeCell ref="B65:J67"/>
    <mergeCell ref="B110:J111"/>
    <mergeCell ref="B113:F113"/>
    <mergeCell ref="F115:G115"/>
    <mergeCell ref="H115:J115"/>
    <mergeCell ref="B133:K1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J428"/>
  <sheetViews>
    <sheetView zoomScaleSheetLayoutView="100" workbookViewId="0">
      <selection activeCell="M40" sqref="M40"/>
    </sheetView>
  </sheetViews>
  <sheetFormatPr defaultRowHeight="15"/>
  <cols>
    <col min="1" max="1" width="2.28515625" style="690" customWidth="1"/>
    <col min="2" max="2" width="5.5703125" style="690" customWidth="1"/>
    <col min="3" max="3" width="8.42578125" style="690" customWidth="1"/>
    <col min="4" max="4" width="28.140625" style="690" customWidth="1"/>
    <col min="5" max="5" width="7.85546875" style="690" customWidth="1"/>
    <col min="6" max="6" width="0.85546875" style="690" customWidth="1"/>
    <col min="7" max="7" width="1.28515625" style="690" hidden="1" customWidth="1"/>
    <col min="8" max="8" width="17.5703125" style="690" customWidth="1"/>
    <col min="9" max="9" width="2.28515625" style="690" customWidth="1"/>
    <col min="10" max="10" width="16.5703125" style="690" customWidth="1"/>
    <col min="11" max="11" width="9.140625" style="690"/>
    <col min="12" max="12" width="9.85546875" style="690" bestFit="1" customWidth="1"/>
    <col min="13" max="16384" width="9.140625" style="690"/>
  </cols>
  <sheetData>
    <row r="1" spans="1:10" ht="15.75">
      <c r="A1" s="794" t="s">
        <v>0</v>
      </c>
      <c r="B1" s="794"/>
      <c r="C1" s="794"/>
      <c r="D1" s="794"/>
      <c r="E1" s="794"/>
      <c r="F1" s="794"/>
      <c r="G1" s="794"/>
      <c r="H1" s="794"/>
      <c r="I1" s="794"/>
      <c r="J1" s="794"/>
    </row>
    <row r="2" spans="1:10" hidden="1">
      <c r="A2" s="795"/>
      <c r="B2" s="795"/>
      <c r="C2" s="795"/>
      <c r="D2" s="795"/>
      <c r="E2" s="795"/>
      <c r="F2" s="795"/>
      <c r="G2" s="795"/>
      <c r="H2" s="795"/>
      <c r="I2" s="795"/>
      <c r="J2" s="795"/>
    </row>
    <row r="3" spans="1:10">
      <c r="A3" s="796" t="s">
        <v>1280</v>
      </c>
      <c r="B3" s="796"/>
      <c r="C3" s="796"/>
      <c r="D3" s="796"/>
      <c r="E3" s="796"/>
      <c r="F3" s="796"/>
      <c r="G3" s="796"/>
      <c r="H3" s="796"/>
      <c r="I3" s="796"/>
      <c r="J3" s="796"/>
    </row>
    <row r="4" spans="1:10">
      <c r="A4" s="797" t="s">
        <v>1276</v>
      </c>
      <c r="B4" s="797"/>
      <c r="C4" s="797"/>
      <c r="D4" s="797"/>
      <c r="E4" s="797"/>
      <c r="F4" s="797"/>
      <c r="G4" s="797"/>
      <c r="H4" s="797"/>
      <c r="I4" s="797"/>
      <c r="J4" s="797"/>
    </row>
    <row r="5" spans="1:10" ht="10.5" customHeight="1"/>
    <row r="6" spans="1:10">
      <c r="E6" s="790"/>
      <c r="F6" s="685"/>
      <c r="G6" s="692"/>
      <c r="H6" s="791" t="s">
        <v>138</v>
      </c>
      <c r="I6" s="792"/>
      <c r="J6" s="793"/>
    </row>
    <row r="7" spans="1:10">
      <c r="E7" s="790"/>
      <c r="F7" s="685"/>
      <c r="G7" s="693"/>
      <c r="H7" s="694" t="s">
        <v>1294</v>
      </c>
      <c r="I7" s="695"/>
      <c r="J7" s="694" t="s">
        <v>1295</v>
      </c>
    </row>
    <row r="8" spans="1:10" ht="13.5" customHeight="1">
      <c r="B8" s="696" t="s">
        <v>29</v>
      </c>
      <c r="C8" s="697"/>
    </row>
    <row r="9" spans="1:10" ht="15.6" hidden="1" customHeight="1">
      <c r="B9" s="697"/>
      <c r="C9" s="697"/>
      <c r="E9" s="698"/>
      <c r="F9" s="698"/>
      <c r="G9" s="698"/>
      <c r="H9" s="698"/>
      <c r="I9" s="698"/>
      <c r="J9" s="698"/>
    </row>
    <row r="10" spans="1:10">
      <c r="B10" s="782" t="s">
        <v>879</v>
      </c>
      <c r="C10" s="782"/>
      <c r="D10" s="782"/>
      <c r="E10" s="692"/>
      <c r="F10" s="692"/>
      <c r="G10" s="699"/>
      <c r="H10" s="700">
        <v>417904581.40999997</v>
      </c>
      <c r="I10" s="699"/>
      <c r="J10" s="700">
        <v>323105084.87</v>
      </c>
    </row>
    <row r="11" spans="1:10">
      <c r="B11" s="782" t="s">
        <v>15</v>
      </c>
      <c r="C11" s="782"/>
      <c r="D11" s="782"/>
      <c r="E11" s="692"/>
      <c r="F11" s="698"/>
      <c r="G11" s="699"/>
      <c r="H11" s="701">
        <v>1163000</v>
      </c>
      <c r="I11" s="699"/>
      <c r="J11" s="701">
        <v>1990000</v>
      </c>
    </row>
    <row r="12" spans="1:10">
      <c r="B12" s="787" t="s">
        <v>675</v>
      </c>
      <c r="C12" s="787"/>
      <c r="D12" s="787"/>
      <c r="E12" s="692"/>
      <c r="F12" s="698"/>
      <c r="G12" s="699"/>
      <c r="H12" s="701">
        <v>98244863.329999998</v>
      </c>
      <c r="I12" s="699"/>
      <c r="J12" s="701">
        <v>90590165.760000005</v>
      </c>
    </row>
    <row r="13" spans="1:10">
      <c r="B13" s="782" t="s">
        <v>1248</v>
      </c>
      <c r="C13" s="782"/>
      <c r="D13" s="782"/>
      <c r="E13" s="692"/>
      <c r="F13" s="698"/>
      <c r="G13" s="699"/>
      <c r="H13" s="701">
        <v>5556179.8399999999</v>
      </c>
      <c r="I13" s="699"/>
      <c r="J13" s="701">
        <v>5395888.7199999997</v>
      </c>
    </row>
    <row r="14" spans="1:10">
      <c r="B14" s="787" t="s">
        <v>1249</v>
      </c>
      <c r="C14" s="787"/>
      <c r="D14" s="787"/>
      <c r="E14" s="692"/>
      <c r="F14" s="698"/>
      <c r="G14" s="699"/>
      <c r="H14" s="702">
        <v>15207000</v>
      </c>
      <c r="I14" s="699"/>
      <c r="J14" s="702">
        <v>17430000</v>
      </c>
    </row>
    <row r="15" spans="1:10">
      <c r="E15" s="692"/>
      <c r="F15" s="692"/>
      <c r="G15" s="703"/>
      <c r="H15" s="704">
        <v>538075624.57999992</v>
      </c>
      <c r="I15" s="705"/>
      <c r="J15" s="704">
        <v>438511139.35000002</v>
      </c>
    </row>
    <row r="16" spans="1:10">
      <c r="B16" s="783" t="s">
        <v>32</v>
      </c>
      <c r="C16" s="783"/>
      <c r="D16" s="783"/>
      <c r="E16" s="692"/>
      <c r="F16" s="692"/>
      <c r="G16" s="699"/>
      <c r="H16" s="699"/>
      <c r="I16" s="699"/>
      <c r="J16" s="699"/>
    </row>
    <row r="17" spans="2:10">
      <c r="B17" s="786" t="s">
        <v>16</v>
      </c>
      <c r="C17" s="786"/>
      <c r="D17" s="786"/>
      <c r="E17" s="692"/>
      <c r="F17" s="692"/>
      <c r="G17" s="699"/>
      <c r="H17" s="700">
        <v>3315458</v>
      </c>
      <c r="I17" s="699"/>
      <c r="J17" s="700">
        <v>3299209</v>
      </c>
    </row>
    <row r="18" spans="2:10">
      <c r="B18" s="786" t="s">
        <v>536</v>
      </c>
      <c r="C18" s="786"/>
      <c r="D18" s="786"/>
      <c r="E18" s="692"/>
      <c r="F18" s="692"/>
      <c r="G18" s="699"/>
      <c r="H18" s="701">
        <v>144970</v>
      </c>
      <c r="I18" s="699"/>
      <c r="J18" s="701">
        <v>183393</v>
      </c>
    </row>
    <row r="19" spans="2:10">
      <c r="B19" s="786" t="s">
        <v>1250</v>
      </c>
      <c r="C19" s="786"/>
      <c r="D19" s="786"/>
      <c r="E19" s="692"/>
      <c r="F19" s="698"/>
      <c r="G19" s="699"/>
      <c r="H19" s="701">
        <v>28035640.41</v>
      </c>
      <c r="I19" s="699"/>
      <c r="J19" s="701">
        <v>56975666.420000002</v>
      </c>
    </row>
    <row r="20" spans="2:10">
      <c r="B20" s="786" t="s">
        <v>1251</v>
      </c>
      <c r="C20" s="786"/>
      <c r="D20" s="786"/>
      <c r="E20" s="692"/>
      <c r="F20" s="698"/>
      <c r="G20" s="699"/>
      <c r="H20" s="701">
        <v>12588888.449999999</v>
      </c>
      <c r="I20" s="699"/>
      <c r="J20" s="701">
        <v>10962477</v>
      </c>
    </row>
    <row r="21" spans="2:10">
      <c r="B21" s="786" t="s">
        <v>1252</v>
      </c>
      <c r="C21" s="786"/>
      <c r="D21" s="786"/>
      <c r="E21" s="692"/>
      <c r="F21" s="698"/>
      <c r="G21" s="706"/>
      <c r="H21" s="701">
        <v>298810</v>
      </c>
      <c r="I21" s="706"/>
      <c r="J21" s="701">
        <v>662483</v>
      </c>
    </row>
    <row r="22" spans="2:10">
      <c r="B22" s="786" t="s">
        <v>17</v>
      </c>
      <c r="C22" s="786"/>
      <c r="D22" s="786"/>
      <c r="E22" s="692"/>
      <c r="F22" s="698"/>
      <c r="G22" s="699"/>
      <c r="H22" s="702">
        <v>103209144.01834631</v>
      </c>
      <c r="I22" s="699"/>
      <c r="J22" s="702">
        <v>103244243.73250675</v>
      </c>
    </row>
    <row r="23" spans="2:10">
      <c r="B23" s="782"/>
      <c r="C23" s="782"/>
      <c r="D23" s="782"/>
      <c r="E23" s="692"/>
      <c r="F23" s="692"/>
      <c r="G23" s="699"/>
      <c r="H23" s="707">
        <v>147592910.87834632</v>
      </c>
      <c r="I23" s="708"/>
      <c r="J23" s="707">
        <v>175327472.15250677</v>
      </c>
    </row>
    <row r="24" spans="2:10">
      <c r="B24" s="783" t="s">
        <v>18</v>
      </c>
      <c r="C24" s="783"/>
      <c r="D24" s="783"/>
      <c r="E24" s="692"/>
      <c r="F24" s="692"/>
      <c r="G24" s="703"/>
      <c r="H24" s="704">
        <v>390482713.7016536</v>
      </c>
      <c r="I24" s="705"/>
      <c r="J24" s="704">
        <v>263183666.94749326</v>
      </c>
    </row>
    <row r="25" spans="2:10">
      <c r="B25" s="789" t="s">
        <v>33</v>
      </c>
      <c r="C25" s="789"/>
      <c r="D25" s="789"/>
      <c r="E25" s="692"/>
      <c r="F25" s="692"/>
      <c r="G25" s="692"/>
      <c r="H25" s="692"/>
      <c r="I25" s="692"/>
      <c r="J25" s="692"/>
    </row>
    <row r="26" spans="2:10" ht="3" customHeight="1">
      <c r="B26" s="787"/>
      <c r="C26" s="787"/>
      <c r="D26" s="787"/>
      <c r="E26" s="692"/>
      <c r="F26" s="692"/>
      <c r="G26" s="692"/>
      <c r="H26" s="692"/>
      <c r="I26" s="692"/>
      <c r="J26" s="692"/>
    </row>
    <row r="27" spans="2:10">
      <c r="B27" s="787" t="s">
        <v>19</v>
      </c>
      <c r="C27" s="787"/>
      <c r="D27" s="787"/>
      <c r="E27" s="692"/>
      <c r="F27" s="692"/>
      <c r="G27" s="709"/>
      <c r="H27" s="710">
        <v>51456602.390000001</v>
      </c>
      <c r="I27" s="709"/>
      <c r="J27" s="710">
        <v>47722036</v>
      </c>
    </row>
    <row r="28" spans="2:10">
      <c r="B28" s="782" t="s">
        <v>20</v>
      </c>
      <c r="C28" s="782"/>
      <c r="D28" s="782"/>
      <c r="E28" s="698"/>
      <c r="F28" s="698"/>
      <c r="G28" s="709"/>
      <c r="H28" s="711">
        <v>52869287.659999996</v>
      </c>
      <c r="I28" s="709"/>
      <c r="J28" s="711">
        <v>42897166.980000004</v>
      </c>
    </row>
    <row r="29" spans="2:10">
      <c r="B29" s="782" t="s">
        <v>39</v>
      </c>
      <c r="C29" s="782"/>
      <c r="D29" s="782"/>
      <c r="E29" s="692"/>
      <c r="F29" s="692"/>
      <c r="G29" s="709"/>
      <c r="H29" s="711">
        <v>28659648.931699991</v>
      </c>
      <c r="I29" s="709"/>
      <c r="J29" s="711">
        <v>29233130.225299984</v>
      </c>
    </row>
    <row r="30" spans="2:10">
      <c r="B30" s="786" t="s">
        <v>21</v>
      </c>
      <c r="C30" s="786"/>
      <c r="D30" s="786"/>
      <c r="E30" s="698"/>
      <c r="F30" s="692"/>
      <c r="G30" s="709"/>
      <c r="H30" s="712">
        <v>8976854.7346571237</v>
      </c>
      <c r="I30" s="709"/>
      <c r="J30" s="712">
        <v>8094986.5938525796</v>
      </c>
    </row>
    <row r="31" spans="2:10">
      <c r="B31" s="782"/>
      <c r="C31" s="782"/>
      <c r="D31" s="782"/>
      <c r="E31" s="692"/>
      <c r="F31" s="692"/>
      <c r="G31" s="709"/>
      <c r="H31" s="713">
        <v>141962393.71635711</v>
      </c>
      <c r="I31" s="714"/>
      <c r="J31" s="713">
        <v>127947319.79915257</v>
      </c>
    </row>
    <row r="32" spans="2:10">
      <c r="B32" s="783" t="s">
        <v>22</v>
      </c>
      <c r="C32" s="783"/>
      <c r="D32" s="783"/>
      <c r="E32" s="692"/>
      <c r="F32" s="692"/>
      <c r="G32" s="715"/>
      <c r="H32" s="716">
        <v>248520319.98529649</v>
      </c>
      <c r="I32" s="716"/>
      <c r="J32" s="716">
        <v>135236347.1483407</v>
      </c>
    </row>
    <row r="33" spans="2:10" ht="6" customHeight="1">
      <c r="B33" s="782"/>
      <c r="C33" s="782"/>
      <c r="D33" s="782"/>
      <c r="E33" s="692"/>
      <c r="F33" s="692"/>
      <c r="G33" s="717"/>
      <c r="H33" s="717"/>
      <c r="I33" s="717"/>
      <c r="J33" s="717"/>
    </row>
    <row r="34" spans="2:10">
      <c r="B34" s="783" t="s">
        <v>874</v>
      </c>
      <c r="C34" s="783"/>
      <c r="D34" s="783"/>
      <c r="E34" s="692"/>
      <c r="F34" s="692"/>
      <c r="G34" s="717"/>
      <c r="H34" s="717"/>
      <c r="I34" s="717"/>
      <c r="J34" s="717"/>
    </row>
    <row r="35" spans="2:10" ht="6" customHeight="1">
      <c r="B35" s="782"/>
      <c r="C35" s="782"/>
      <c r="D35" s="782"/>
      <c r="E35" s="692"/>
      <c r="F35" s="692"/>
      <c r="G35" s="717"/>
      <c r="H35" s="717"/>
      <c r="I35" s="717"/>
      <c r="J35" s="717"/>
    </row>
    <row r="36" spans="2:10">
      <c r="B36" s="787" t="s">
        <v>35</v>
      </c>
      <c r="C36" s="787"/>
      <c r="D36" s="787"/>
      <c r="E36" s="692"/>
      <c r="F36" s="692"/>
      <c r="G36" s="706"/>
      <c r="H36" s="700">
        <v>43773913.82</v>
      </c>
      <c r="I36" s="706"/>
      <c r="J36" s="700">
        <v>25100663.580000002</v>
      </c>
    </row>
    <row r="37" spans="2:10">
      <c r="B37" s="787" t="s">
        <v>875</v>
      </c>
      <c r="C37" s="787"/>
      <c r="D37" s="787"/>
      <c r="E37" s="692"/>
      <c r="F37" s="692"/>
      <c r="G37" s="706"/>
      <c r="H37" s="701">
        <v>-40750050</v>
      </c>
      <c r="I37" s="706"/>
      <c r="J37" s="772">
        <v>-43177211.083333336</v>
      </c>
    </row>
    <row r="38" spans="2:10">
      <c r="B38" s="719" t="s">
        <v>1291</v>
      </c>
      <c r="C38" s="719"/>
      <c r="D38" s="719"/>
      <c r="E38" s="692"/>
      <c r="F38" s="692"/>
      <c r="G38" s="706"/>
      <c r="H38" s="701">
        <v>-14219490.818230592</v>
      </c>
      <c r="I38" s="706"/>
      <c r="J38" s="718"/>
    </row>
    <row r="39" spans="2:10">
      <c r="B39" s="787" t="s">
        <v>1287</v>
      </c>
      <c r="C39" s="787"/>
      <c r="D39" s="787"/>
      <c r="E39" s="692"/>
      <c r="F39" s="692"/>
      <c r="G39" s="706"/>
      <c r="H39" s="701">
        <v>96466.31</v>
      </c>
      <c r="I39" s="706"/>
      <c r="J39" s="701">
        <v>0</v>
      </c>
    </row>
    <row r="40" spans="2:10">
      <c r="B40" s="787" t="s">
        <v>744</v>
      </c>
      <c r="C40" s="787"/>
      <c r="D40" s="787"/>
      <c r="E40" s="692"/>
      <c r="F40" s="692"/>
      <c r="G40" s="706"/>
      <c r="H40" s="702">
        <v>-3717778.299999997</v>
      </c>
      <c r="I40" s="706"/>
      <c r="J40" s="702">
        <v>-1534574.049999997</v>
      </c>
    </row>
    <row r="41" spans="2:10">
      <c r="B41" s="782"/>
      <c r="C41" s="782"/>
      <c r="D41" s="782"/>
      <c r="E41" s="692"/>
      <c r="F41" s="692"/>
      <c r="G41" s="706"/>
      <c r="H41" s="720">
        <v>-14816938.988230588</v>
      </c>
      <c r="I41" s="706"/>
      <c r="J41" s="720">
        <v>-19611121.553333331</v>
      </c>
    </row>
    <row r="42" spans="2:10">
      <c r="B42" s="788" t="s">
        <v>706</v>
      </c>
      <c r="C42" s="788"/>
      <c r="D42" s="788"/>
      <c r="E42" s="692"/>
      <c r="F42" s="692"/>
      <c r="G42" s="721"/>
      <c r="H42" s="721">
        <v>233703380.9970659</v>
      </c>
      <c r="I42" s="721"/>
      <c r="J42" s="721">
        <v>115625223.59500737</v>
      </c>
    </row>
    <row r="43" spans="2:10">
      <c r="B43" s="786" t="s">
        <v>677</v>
      </c>
      <c r="C43" s="786"/>
      <c r="D43" s="786"/>
      <c r="E43" s="722"/>
      <c r="F43" s="722"/>
      <c r="G43" s="706"/>
      <c r="H43" s="706">
        <v>11128732.428431708</v>
      </c>
      <c r="I43" s="706"/>
      <c r="J43" s="706">
        <v>5505963.0283336844</v>
      </c>
    </row>
    <row r="44" spans="2:10" ht="4.5" customHeight="1">
      <c r="B44" s="782"/>
      <c r="C44" s="782"/>
      <c r="D44" s="782"/>
      <c r="E44" s="692"/>
      <c r="F44" s="692"/>
      <c r="G44" s="706"/>
      <c r="H44" s="706"/>
      <c r="I44" s="706"/>
      <c r="J44" s="706"/>
    </row>
    <row r="45" spans="2:10">
      <c r="B45" s="783" t="s">
        <v>538</v>
      </c>
      <c r="C45" s="783"/>
      <c r="D45" s="783"/>
      <c r="E45" s="692"/>
      <c r="F45" s="692"/>
      <c r="G45" s="721"/>
      <c r="H45" s="721">
        <v>222574648.56863418</v>
      </c>
      <c r="I45" s="721"/>
      <c r="J45" s="721">
        <v>110119260.5666737</v>
      </c>
    </row>
    <row r="46" spans="2:10" ht="3.75" customHeight="1">
      <c r="E46" s="692"/>
      <c r="F46" s="692"/>
      <c r="G46" s="706"/>
      <c r="H46" s="706"/>
      <c r="I46" s="706"/>
      <c r="J46" s="706"/>
    </row>
    <row r="47" spans="2:10">
      <c r="B47" s="697" t="s">
        <v>557</v>
      </c>
      <c r="C47" s="690" t="s">
        <v>916</v>
      </c>
      <c r="E47" s="692"/>
      <c r="F47" s="692"/>
      <c r="G47" s="706"/>
      <c r="H47" s="700">
        <v>38796300.404852502</v>
      </c>
      <c r="I47" s="706"/>
      <c r="J47" s="700">
        <v>6435965.2156400001</v>
      </c>
    </row>
    <row r="48" spans="2:10">
      <c r="B48" s="697"/>
      <c r="C48" s="690" t="s">
        <v>917</v>
      </c>
      <c r="E48" s="692"/>
      <c r="F48" s="692"/>
      <c r="G48" s="706"/>
      <c r="H48" s="702">
        <v>12026723.122134507</v>
      </c>
      <c r="I48" s="706"/>
      <c r="J48" s="702">
        <v>26636274.56202054</v>
      </c>
    </row>
    <row r="49" spans="1:10">
      <c r="D49" s="657"/>
      <c r="E49" s="717"/>
      <c r="F49" s="717"/>
      <c r="G49" s="706"/>
      <c r="H49" s="723">
        <v>50823023.526987009</v>
      </c>
      <c r="I49" s="706"/>
      <c r="J49" s="723">
        <v>33072239.527660541</v>
      </c>
    </row>
    <row r="50" spans="1:10">
      <c r="B50" s="696" t="s">
        <v>532</v>
      </c>
      <c r="C50" s="697"/>
      <c r="E50" s="692"/>
      <c r="F50" s="692"/>
      <c r="G50" s="715"/>
      <c r="H50" s="715">
        <v>171751625.04164717</v>
      </c>
      <c r="I50" s="715"/>
      <c r="J50" s="715">
        <v>77047021.529013142</v>
      </c>
    </row>
    <row r="51" spans="1:10" ht="1.1499999999999999" customHeight="1">
      <c r="B51" s="697"/>
      <c r="C51" s="697"/>
      <c r="E51" s="692"/>
      <c r="F51" s="692"/>
      <c r="G51" s="706"/>
      <c r="H51" s="706"/>
      <c r="I51" s="706"/>
      <c r="J51" s="706"/>
    </row>
    <row r="52" spans="1:10" ht="3.75" customHeight="1">
      <c r="B52" s="724"/>
      <c r="C52" s="724"/>
      <c r="G52" s="721"/>
      <c r="H52" s="721"/>
      <c r="I52" s="721"/>
      <c r="J52" s="721"/>
    </row>
    <row r="53" spans="1:10" ht="15.75" thickBot="1">
      <c r="B53" s="696" t="s">
        <v>571</v>
      </c>
      <c r="C53" s="697"/>
      <c r="E53" s="692"/>
      <c r="F53" s="692"/>
      <c r="G53" s="706"/>
      <c r="H53" s="725">
        <v>171751625.04164717</v>
      </c>
      <c r="I53" s="726"/>
      <c r="J53" s="725">
        <v>77047021.529013142</v>
      </c>
    </row>
    <row r="54" spans="1:10" s="727" customFormat="1" ht="7.5" customHeight="1" thickTop="1">
      <c r="B54" s="697"/>
      <c r="C54" s="697"/>
      <c r="E54" s="692"/>
      <c r="F54" s="692"/>
      <c r="G54" s="717"/>
      <c r="H54" s="717"/>
      <c r="I54" s="717"/>
      <c r="J54" s="717"/>
    </row>
    <row r="55" spans="1:10" ht="15.75" thickBot="1">
      <c r="B55" s="728" t="s">
        <v>659</v>
      </c>
      <c r="C55" s="724"/>
      <c r="D55" s="729"/>
      <c r="E55" s="692"/>
      <c r="F55" s="692"/>
      <c r="G55" s="730"/>
      <c r="H55" s="731">
        <v>1.0415153807877442</v>
      </c>
      <c r="I55" s="732"/>
      <c r="J55" s="731">
        <v>0.46721920649596937</v>
      </c>
    </row>
    <row r="56" spans="1:10" ht="5.25" customHeight="1" thickTop="1">
      <c r="B56" s="724"/>
      <c r="C56" s="724"/>
      <c r="D56" s="729"/>
      <c r="E56" s="692"/>
      <c r="F56" s="692"/>
      <c r="G56" s="692"/>
      <c r="H56" s="692"/>
      <c r="I56" s="692"/>
      <c r="J56" s="692"/>
    </row>
    <row r="57" spans="1:10" ht="7.5" customHeight="1">
      <c r="B57" s="733"/>
      <c r="C57" s="724"/>
      <c r="D57" s="729"/>
      <c r="E57" s="692"/>
      <c r="F57" s="692"/>
      <c r="G57" s="692"/>
      <c r="H57" s="692"/>
      <c r="I57" s="692"/>
      <c r="J57" s="692"/>
    </row>
    <row r="58" spans="1:10" ht="7.5" hidden="1" customHeight="1">
      <c r="B58" s="733"/>
      <c r="C58" s="724"/>
      <c r="D58" s="729"/>
      <c r="E58" s="692"/>
      <c r="F58" s="692"/>
      <c r="G58" s="692"/>
      <c r="H58" s="734"/>
      <c r="I58" s="692"/>
      <c r="J58" s="692"/>
    </row>
    <row r="59" spans="1:10">
      <c r="A59" s="784"/>
      <c r="B59" s="784"/>
      <c r="C59" s="784"/>
      <c r="D59" s="784"/>
      <c r="E59" s="784"/>
      <c r="F59" s="784"/>
      <c r="G59" s="784"/>
      <c r="H59" s="784"/>
      <c r="I59" s="784"/>
      <c r="J59" s="784"/>
    </row>
    <row r="60" spans="1:10" ht="16.5">
      <c r="A60" s="839" t="s">
        <v>1313</v>
      </c>
      <c r="B60" s="839"/>
      <c r="C60" s="839"/>
      <c r="D60" s="839"/>
      <c r="E60" s="839"/>
      <c r="F60" s="839"/>
      <c r="G60" s="839"/>
      <c r="H60" s="839"/>
      <c r="I60" s="839"/>
      <c r="J60" s="839"/>
    </row>
    <row r="61" spans="1:10">
      <c r="A61" s="785" t="s">
        <v>1312</v>
      </c>
      <c r="B61" s="785"/>
      <c r="C61" s="785"/>
      <c r="D61" s="785"/>
      <c r="E61" s="785"/>
      <c r="F61" s="785"/>
      <c r="G61" s="785"/>
      <c r="H61" s="785"/>
      <c r="I61" s="785"/>
      <c r="J61" s="785"/>
    </row>
    <row r="62" spans="1:10" ht="10.5" customHeight="1">
      <c r="A62" s="737"/>
      <c r="B62" s="737"/>
      <c r="C62" s="737"/>
      <c r="D62" s="737"/>
      <c r="E62" s="737"/>
      <c r="F62" s="737"/>
      <c r="G62" s="737"/>
      <c r="H62" s="737"/>
      <c r="I62" s="737"/>
    </row>
    <row r="63" spans="1:10">
      <c r="A63" s="738" t="s">
        <v>1247</v>
      </c>
      <c r="B63" s="737"/>
      <c r="C63" s="737"/>
      <c r="D63" s="737"/>
      <c r="E63" s="737"/>
      <c r="F63" s="737"/>
      <c r="G63" s="737"/>
      <c r="H63" s="737"/>
      <c r="I63" s="737"/>
      <c r="J63" s="737"/>
    </row>
    <row r="64" spans="1:10">
      <c r="A64" s="740" t="s">
        <v>1298</v>
      </c>
      <c r="B64" s="692"/>
      <c r="C64" s="692"/>
      <c r="D64" s="692"/>
      <c r="E64" s="692"/>
      <c r="F64" s="692"/>
      <c r="G64" s="692"/>
      <c r="H64" s="692"/>
      <c r="I64" s="692"/>
    </row>
    <row r="394" ht="9.75" customHeight="1"/>
    <row r="421" ht="12" customHeight="1"/>
    <row r="428" ht="9.75" customHeight="1"/>
  </sheetData>
  <mergeCells count="43">
    <mergeCell ref="A60:J60"/>
    <mergeCell ref="E6:E7"/>
    <mergeCell ref="H6:J6"/>
    <mergeCell ref="A1:J1"/>
    <mergeCell ref="A2:J2"/>
    <mergeCell ref="A3:J3"/>
    <mergeCell ref="A4:J4"/>
    <mergeCell ref="B10:D10"/>
    <mergeCell ref="B11:D11"/>
    <mergeCell ref="B12:D12"/>
    <mergeCell ref="B13:D13"/>
    <mergeCell ref="B14:D14"/>
    <mergeCell ref="B16:D16"/>
    <mergeCell ref="B17:D17"/>
    <mergeCell ref="B18:D18"/>
    <mergeCell ref="B30:D30"/>
    <mergeCell ref="B19:D19"/>
    <mergeCell ref="B20:D20"/>
    <mergeCell ref="B21:D21"/>
    <mergeCell ref="B22:D22"/>
    <mergeCell ref="B23:D23"/>
    <mergeCell ref="B42:D42"/>
    <mergeCell ref="B24:D24"/>
    <mergeCell ref="B25:D25"/>
    <mergeCell ref="B26:D26"/>
    <mergeCell ref="B27:D27"/>
    <mergeCell ref="B28:D28"/>
    <mergeCell ref="B44:D44"/>
    <mergeCell ref="B45:D45"/>
    <mergeCell ref="A59:J59"/>
    <mergeCell ref="A61:J61"/>
    <mergeCell ref="B29:D29"/>
    <mergeCell ref="B43:D43"/>
    <mergeCell ref="B31:D31"/>
    <mergeCell ref="B32:D32"/>
    <mergeCell ref="B33:D33"/>
    <mergeCell ref="B34:D34"/>
    <mergeCell ref="B35:D35"/>
    <mergeCell ref="B39:D39"/>
    <mergeCell ref="B36:D36"/>
    <mergeCell ref="B37:D37"/>
    <mergeCell ref="B40:D40"/>
    <mergeCell ref="B41:D41"/>
  </mergeCells>
  <pageMargins left="0.78" right="0.39" top="0.41" bottom="0.36" header="0.196850393700787" footer="0.24"/>
  <pageSetup paperSize="9" scale="95" firstPageNumber="2" orientation="portrait" useFirstPageNumber="1" r:id="rId1"/>
  <headerFooter scaleWithDoc="0" alignWithMargins="0">
    <oddFooter>&amp;C2</oddFooter>
  </headerFooter>
</worksheet>
</file>

<file path=xl/worksheets/sheet20.xml><?xml version="1.0" encoding="utf-8"?>
<worksheet xmlns="http://schemas.openxmlformats.org/spreadsheetml/2006/main" xmlns:r="http://schemas.openxmlformats.org/officeDocument/2006/relationships">
  <dimension ref="A1:IN265"/>
  <sheetViews>
    <sheetView topLeftCell="B68" workbookViewId="0">
      <selection activeCell="K7" sqref="K7"/>
    </sheetView>
  </sheetViews>
  <sheetFormatPr defaultRowHeight="15"/>
  <cols>
    <col min="1" max="1" width="0.140625" style="2" hidden="1" customWidth="1"/>
    <col min="2" max="2" width="5.7109375" style="52" bestFit="1" customWidth="1"/>
    <col min="3" max="3" width="9.140625" style="2"/>
    <col min="4" max="4" width="7.85546875" style="2" customWidth="1"/>
    <col min="5" max="5" width="16" style="2" customWidth="1"/>
    <col min="6" max="6" width="8.5703125" style="2" customWidth="1"/>
    <col min="7" max="7" width="9" style="2" bestFit="1" customWidth="1"/>
    <col min="8" max="8" width="0.5703125" style="2" customWidth="1"/>
    <col min="9" max="9" width="6.42578125" style="2" customWidth="1"/>
    <col min="10" max="10" width="0.42578125" style="2" hidden="1" customWidth="1"/>
    <col min="11" max="11" width="5.42578125" style="2" hidden="1" customWidth="1"/>
    <col min="12" max="13" width="0.85546875" style="2" customWidth="1"/>
    <col min="14" max="14" width="17.7109375" style="5" bestFit="1" customWidth="1"/>
    <col min="15" max="15" width="15.42578125" style="37" customWidth="1"/>
    <col min="16" max="16" width="1" style="2" customWidth="1"/>
    <col min="17" max="17" width="13.85546875" style="2" customWidth="1"/>
    <col min="18" max="18" width="1.5703125" style="23" customWidth="1"/>
    <col min="19" max="19" width="15.28515625" style="2" customWidth="1"/>
    <col min="20" max="20" width="14.42578125" style="2" customWidth="1"/>
    <col min="21" max="21" width="9.140625" style="2"/>
    <col min="22" max="22" width="12" style="2" bestFit="1" customWidth="1"/>
    <col min="23" max="16384" width="9.140625" style="2"/>
  </cols>
  <sheetData>
    <row r="1" spans="2:22">
      <c r="N1" s="1"/>
    </row>
    <row r="2" spans="2:22">
      <c r="B2" s="52">
        <v>14</v>
      </c>
      <c r="C2" s="808" t="s">
        <v>320</v>
      </c>
      <c r="D2" s="808"/>
      <c r="E2" s="808"/>
      <c r="F2" s="808"/>
      <c r="G2" s="808"/>
      <c r="H2" s="808"/>
      <c r="I2" s="808"/>
      <c r="J2" s="808"/>
      <c r="K2" s="808"/>
      <c r="L2" s="808"/>
      <c r="M2" s="808"/>
      <c r="N2" s="808"/>
      <c r="O2" s="808"/>
    </row>
    <row r="3" spans="2:22">
      <c r="C3" s="808"/>
      <c r="D3" s="808"/>
      <c r="E3" s="808"/>
      <c r="F3" s="808"/>
      <c r="G3" s="808"/>
      <c r="H3" s="808"/>
      <c r="I3" s="808"/>
      <c r="J3" s="808"/>
      <c r="K3" s="808"/>
      <c r="L3" s="808"/>
      <c r="M3" s="808"/>
      <c r="N3" s="808"/>
      <c r="O3" s="808"/>
    </row>
    <row r="4" spans="2:22">
      <c r="C4" s="808"/>
      <c r="D4" s="808"/>
      <c r="E4" s="808"/>
      <c r="F4" s="808"/>
      <c r="G4" s="808"/>
      <c r="H4" s="808"/>
      <c r="I4" s="808"/>
      <c r="J4" s="808"/>
      <c r="K4" s="808"/>
      <c r="L4" s="808"/>
      <c r="M4" s="808"/>
      <c r="N4" s="808"/>
      <c r="O4" s="808"/>
    </row>
    <row r="5" spans="2:22">
      <c r="C5" s="61"/>
      <c r="D5" s="61"/>
      <c r="E5" s="180"/>
      <c r="F5" s="180"/>
      <c r="G5" s="180"/>
      <c r="H5" s="184"/>
      <c r="I5" s="180"/>
      <c r="J5" s="180"/>
      <c r="K5" s="170"/>
      <c r="L5" s="170"/>
      <c r="M5" s="170"/>
      <c r="N5" s="1"/>
    </row>
    <row r="6" spans="2:22">
      <c r="C6" s="1" t="s">
        <v>98</v>
      </c>
      <c r="D6" s="61"/>
      <c r="E6" s="180"/>
      <c r="G6" s="180"/>
      <c r="I6" s="184"/>
      <c r="K6" s="170"/>
      <c r="L6" s="170"/>
      <c r="N6" s="170"/>
      <c r="O6" s="185" t="s">
        <v>99</v>
      </c>
    </row>
    <row r="7" spans="2:22" ht="15.75" customHeight="1">
      <c r="C7" s="61"/>
      <c r="D7" s="61"/>
      <c r="E7" s="170"/>
      <c r="F7" s="170"/>
      <c r="G7" s="808" t="s">
        <v>321</v>
      </c>
      <c r="H7" s="808"/>
      <c r="I7" s="808"/>
      <c r="J7" s="808"/>
      <c r="K7" s="808"/>
      <c r="L7" s="186"/>
      <c r="N7" s="1"/>
      <c r="O7" s="185" t="s">
        <v>101</v>
      </c>
    </row>
    <row r="8" spans="2:22">
      <c r="C8" s="61"/>
      <c r="D8" s="61"/>
      <c r="E8" s="170"/>
      <c r="F8" s="170"/>
      <c r="G8" s="808"/>
      <c r="H8" s="808"/>
      <c r="I8" s="808"/>
      <c r="J8" s="808"/>
      <c r="K8" s="808"/>
      <c r="L8" s="186"/>
      <c r="N8" s="109" t="s">
        <v>103</v>
      </c>
      <c r="O8" s="185" t="s">
        <v>104</v>
      </c>
    </row>
    <row r="9" spans="2:22">
      <c r="C9" s="110" t="s">
        <v>382</v>
      </c>
      <c r="D9" s="10"/>
      <c r="E9" s="170"/>
      <c r="F9" s="170"/>
      <c r="I9" s="109" t="s">
        <v>1</v>
      </c>
      <c r="K9" s="109"/>
      <c r="L9" s="109"/>
      <c r="N9" s="109" t="s">
        <v>1</v>
      </c>
      <c r="O9" s="187" t="s">
        <v>1</v>
      </c>
      <c r="V9" s="29">
        <v>1954779.68</v>
      </c>
    </row>
    <row r="10" spans="2:22">
      <c r="C10" s="110"/>
      <c r="D10" s="10"/>
      <c r="E10" s="170"/>
      <c r="F10" s="170"/>
      <c r="K10" s="52"/>
      <c r="L10" s="52"/>
      <c r="N10" s="52"/>
      <c r="O10" s="39"/>
      <c r="V10" s="29">
        <v>1060351.1100000001</v>
      </c>
    </row>
    <row r="11" spans="2:22">
      <c r="C11" s="110" t="s">
        <v>107</v>
      </c>
      <c r="D11" s="4"/>
      <c r="E11" s="170"/>
      <c r="F11" s="170"/>
      <c r="G11" s="808">
        <v>1841418372.3518748</v>
      </c>
      <c r="H11" s="808"/>
      <c r="I11" s="808"/>
      <c r="J11" s="808"/>
      <c r="K11" s="808"/>
      <c r="L11" s="52"/>
      <c r="N11" s="111">
        <v>1085960267</v>
      </c>
      <c r="O11" s="41">
        <f>G11-N11</f>
        <v>755458105.35187483</v>
      </c>
      <c r="V11" s="29">
        <v>1012389.84</v>
      </c>
    </row>
    <row r="12" spans="2:22">
      <c r="C12" s="110" t="s">
        <v>39</v>
      </c>
      <c r="D12" s="4"/>
      <c r="E12" s="170"/>
      <c r="F12" s="170"/>
      <c r="G12" s="808">
        <v>43644402</v>
      </c>
      <c r="H12" s="808"/>
      <c r="I12" s="808"/>
      <c r="J12" s="52"/>
      <c r="K12" s="52"/>
      <c r="L12" s="52"/>
      <c r="N12" s="111">
        <v>0</v>
      </c>
      <c r="O12" s="188">
        <f>-G12</f>
        <v>-43644402</v>
      </c>
      <c r="V12" s="29"/>
    </row>
    <row r="13" spans="2:22">
      <c r="C13" s="110"/>
      <c r="D13" s="4"/>
      <c r="E13" s="110"/>
      <c r="F13" s="110"/>
      <c r="G13" s="53"/>
      <c r="H13" s="53"/>
      <c r="I13" s="53"/>
      <c r="J13" s="53"/>
      <c r="K13" s="53"/>
      <c r="L13" s="53"/>
      <c r="N13" s="111"/>
      <c r="O13" s="41">
        <f>SUM(O11:O12)</f>
        <v>711813703.35187483</v>
      </c>
      <c r="V13" s="29">
        <v>1012389.84</v>
      </c>
    </row>
    <row r="14" spans="2:22">
      <c r="C14" s="110" t="s">
        <v>108</v>
      </c>
      <c r="D14" s="4"/>
      <c r="E14" s="170"/>
      <c r="F14" s="170"/>
      <c r="G14" s="1"/>
      <c r="I14" s="1"/>
      <c r="K14" s="1"/>
      <c r="L14" s="1"/>
      <c r="N14" s="110"/>
      <c r="O14" s="113">
        <v>0.27500000000000002</v>
      </c>
      <c r="R14" s="189"/>
      <c r="V14" s="29">
        <v>2276779.6800000002</v>
      </c>
    </row>
    <row r="15" spans="2:22">
      <c r="B15" s="52" t="s">
        <v>31</v>
      </c>
      <c r="C15" s="110" t="s">
        <v>523</v>
      </c>
      <c r="D15" s="4"/>
      <c r="E15" s="170"/>
      <c r="F15" s="170"/>
      <c r="G15" s="1"/>
      <c r="I15" s="1"/>
      <c r="K15" s="1"/>
      <c r="L15" s="1"/>
      <c r="N15" s="110"/>
      <c r="O15" s="190">
        <f>O13*O14</f>
        <v>195748768.4217656</v>
      </c>
      <c r="V15" s="29">
        <v>1060351.1100000001</v>
      </c>
    </row>
    <row r="16" spans="2:22">
      <c r="C16" s="110" t="s">
        <v>322</v>
      </c>
      <c r="D16" s="4"/>
      <c r="E16" s="170"/>
      <c r="F16" s="170"/>
      <c r="G16" s="1"/>
      <c r="I16" s="1"/>
      <c r="K16" s="1"/>
      <c r="L16" s="1"/>
      <c r="N16" s="110"/>
      <c r="O16" s="41">
        <v>179014051</v>
      </c>
      <c r="R16" s="9"/>
      <c r="V16" s="29">
        <v>1012389.84</v>
      </c>
    </row>
    <row r="17" spans="2:22" ht="15.75" thickBot="1">
      <c r="C17" s="110" t="s">
        <v>518</v>
      </c>
      <c r="D17" s="4"/>
      <c r="E17" s="170"/>
      <c r="F17" s="170"/>
      <c r="G17" s="1"/>
      <c r="I17" s="1"/>
      <c r="K17" s="1"/>
      <c r="L17" s="1"/>
      <c r="N17" s="110"/>
      <c r="O17" s="26">
        <f>O15-O16</f>
        <v>16734717.421765596</v>
      </c>
      <c r="V17" s="29">
        <v>1082389.8400000001</v>
      </c>
    </row>
    <row r="18" spans="2:22" ht="15.75" thickTop="1">
      <c r="N18" s="1"/>
      <c r="V18" s="29">
        <v>1082389.8400000001</v>
      </c>
    </row>
    <row r="19" spans="2:22" hidden="1">
      <c r="C19" s="1"/>
      <c r="D19" s="61"/>
      <c r="E19" s="180"/>
      <c r="G19" s="180"/>
      <c r="H19" s="184"/>
      <c r="I19" s="180"/>
      <c r="J19" s="170"/>
      <c r="K19" s="170"/>
      <c r="L19" s="170"/>
      <c r="N19" s="170"/>
      <c r="O19" s="185" t="s">
        <v>99</v>
      </c>
      <c r="V19" s="29">
        <v>630000</v>
      </c>
    </row>
    <row r="20" spans="2:22" hidden="1">
      <c r="C20" s="110" t="s">
        <v>383</v>
      </c>
      <c r="D20" s="61"/>
      <c r="E20" s="170"/>
      <c r="F20" s="170"/>
      <c r="G20" s="808" t="s">
        <v>321</v>
      </c>
      <c r="H20" s="808"/>
      <c r="I20" s="808"/>
      <c r="J20" s="808"/>
      <c r="K20" s="808"/>
      <c r="L20" s="186"/>
      <c r="N20" s="170"/>
      <c r="O20" s="185" t="s">
        <v>101</v>
      </c>
      <c r="V20" s="29">
        <v>1060351</v>
      </c>
    </row>
    <row r="21" spans="2:22" hidden="1">
      <c r="C21" s="61"/>
      <c r="D21" s="61"/>
      <c r="E21" s="170"/>
      <c r="F21" s="170"/>
      <c r="G21" s="808"/>
      <c r="H21" s="808"/>
      <c r="I21" s="808"/>
      <c r="J21" s="808"/>
      <c r="K21" s="808"/>
      <c r="L21" s="186"/>
      <c r="N21" s="109" t="s">
        <v>103</v>
      </c>
      <c r="O21" s="185" t="s">
        <v>104</v>
      </c>
      <c r="V21" s="29">
        <v>1082390</v>
      </c>
    </row>
    <row r="22" spans="2:22" hidden="1">
      <c r="D22" s="10"/>
      <c r="E22" s="170"/>
      <c r="F22" s="170"/>
      <c r="G22" s="808" t="s">
        <v>1</v>
      </c>
      <c r="H22" s="808"/>
      <c r="I22" s="808"/>
      <c r="J22" s="808"/>
      <c r="K22" s="808"/>
      <c r="L22" s="109"/>
      <c r="N22" s="109" t="s">
        <v>1</v>
      </c>
      <c r="O22" s="187" t="s">
        <v>1</v>
      </c>
      <c r="V22" s="29">
        <v>1060351</v>
      </c>
    </row>
    <row r="23" spans="2:22" hidden="1">
      <c r="C23" s="110"/>
      <c r="D23" s="10"/>
      <c r="E23" s="170"/>
      <c r="F23" s="170"/>
      <c r="K23" s="52"/>
      <c r="L23" s="52"/>
      <c r="N23" s="52"/>
      <c r="O23" s="39"/>
      <c r="V23" s="29">
        <v>1012390</v>
      </c>
    </row>
    <row r="24" spans="2:22" hidden="1">
      <c r="C24" s="110" t="s">
        <v>107</v>
      </c>
      <c r="D24" s="4"/>
      <c r="E24" s="170"/>
      <c r="F24" s="170"/>
      <c r="G24" s="808">
        <v>1982024966</v>
      </c>
      <c r="H24" s="808"/>
      <c r="I24" s="808"/>
      <c r="J24" s="808"/>
      <c r="K24" s="808"/>
      <c r="L24" s="52"/>
      <c r="N24" s="111">
        <v>1345695198</v>
      </c>
      <c r="O24" s="41">
        <f>G24-N24</f>
        <v>636329768</v>
      </c>
      <c r="V24" s="29">
        <v>1872343</v>
      </c>
    </row>
    <row r="25" spans="2:22" hidden="1">
      <c r="C25" s="110" t="s">
        <v>108</v>
      </c>
      <c r="D25" s="4"/>
      <c r="E25" s="170"/>
      <c r="F25" s="170"/>
      <c r="G25" s="1"/>
      <c r="I25" s="1"/>
      <c r="K25" s="1"/>
      <c r="L25" s="1"/>
      <c r="N25" s="110"/>
      <c r="O25" s="191">
        <v>0.375</v>
      </c>
      <c r="V25" s="29">
        <v>1362390</v>
      </c>
    </row>
    <row r="26" spans="2:22" hidden="1">
      <c r="C26" s="110" t="s">
        <v>384</v>
      </c>
      <c r="D26" s="4"/>
      <c r="E26" s="170"/>
      <c r="F26" s="170"/>
      <c r="G26" s="1"/>
      <c r="I26" s="1"/>
      <c r="K26" s="1"/>
      <c r="L26" s="1"/>
      <c r="N26" s="110"/>
      <c r="O26" s="41">
        <f>O24*O25</f>
        <v>238623663</v>
      </c>
      <c r="V26" s="29">
        <v>1012390</v>
      </c>
    </row>
    <row r="27" spans="2:22" hidden="1">
      <c r="C27" s="110" t="s">
        <v>324</v>
      </c>
      <c r="D27" s="4"/>
      <c r="E27" s="170"/>
      <c r="F27" s="170"/>
      <c r="G27" s="1"/>
      <c r="I27" s="1"/>
      <c r="K27" s="1"/>
      <c r="L27" s="1"/>
      <c r="N27" s="110"/>
      <c r="O27" s="9">
        <v>200684585</v>
      </c>
      <c r="V27" s="15">
        <v>1711291</v>
      </c>
    </row>
    <row r="28" spans="2:22" ht="15.75" hidden="1" thickBot="1">
      <c r="C28" s="110" t="s">
        <v>323</v>
      </c>
      <c r="D28" s="4"/>
      <c r="E28" s="170"/>
      <c r="F28" s="170"/>
      <c r="G28" s="1"/>
      <c r="I28" s="1"/>
      <c r="K28" s="1"/>
      <c r="L28" s="1"/>
      <c r="N28" s="110"/>
      <c r="O28" s="192">
        <f>O26-O27</f>
        <v>37939078</v>
      </c>
      <c r="V28" s="14"/>
    </row>
    <row r="29" spans="2:22">
      <c r="C29" s="110"/>
      <c r="D29" s="4"/>
      <c r="E29" s="170"/>
      <c r="F29" s="170"/>
      <c r="G29" s="1"/>
      <c r="I29" s="1"/>
      <c r="K29" s="1"/>
      <c r="L29" s="1"/>
      <c r="N29" s="110"/>
      <c r="O29" s="41"/>
      <c r="V29" s="14"/>
    </row>
    <row r="30" spans="2:22">
      <c r="D30" s="10"/>
      <c r="G30" s="25"/>
      <c r="H30" s="25"/>
      <c r="I30" s="115"/>
      <c r="J30" s="115"/>
      <c r="K30" s="1"/>
      <c r="L30" s="1"/>
      <c r="M30" s="1"/>
      <c r="N30" s="182">
        <v>41364</v>
      </c>
      <c r="O30" s="182">
        <v>41090</v>
      </c>
      <c r="V30" s="2">
        <f>SUM(V9:V27)</f>
        <v>22358106.780000001</v>
      </c>
    </row>
    <row r="31" spans="2:22">
      <c r="B31" s="52">
        <f>B2+1</f>
        <v>15</v>
      </c>
      <c r="C31" s="4" t="s">
        <v>8</v>
      </c>
      <c r="D31" s="10"/>
      <c r="G31" s="25"/>
      <c r="H31" s="25"/>
      <c r="I31" s="115"/>
      <c r="J31" s="115"/>
      <c r="K31" s="1"/>
      <c r="L31" s="1"/>
      <c r="M31" s="1"/>
      <c r="N31" s="3" t="s">
        <v>1</v>
      </c>
      <c r="O31" s="38" t="s">
        <v>1</v>
      </c>
    </row>
    <row r="32" spans="2:22">
      <c r="C32" s="4"/>
      <c r="D32" s="10"/>
      <c r="G32" s="25"/>
      <c r="H32" s="25"/>
      <c r="I32" s="115"/>
      <c r="J32" s="115"/>
      <c r="K32" s="1"/>
      <c r="L32" s="1"/>
      <c r="M32" s="1"/>
      <c r="N32" s="3"/>
      <c r="O32" s="38"/>
    </row>
    <row r="33" spans="2:19">
      <c r="C33" s="10" t="s">
        <v>113</v>
      </c>
      <c r="G33" s="25"/>
      <c r="H33" s="25"/>
      <c r="I33" s="25"/>
      <c r="J33" s="25"/>
      <c r="N33" s="13">
        <v>5451908</v>
      </c>
      <c r="O33" s="13">
        <f>4438931+2095954</f>
        <v>6534885</v>
      </c>
    </row>
    <row r="34" spans="2:19">
      <c r="C34" s="10" t="s">
        <v>114</v>
      </c>
      <c r="G34" s="25"/>
      <c r="H34" s="25"/>
      <c r="I34" s="25"/>
      <c r="J34" s="25"/>
      <c r="N34" s="29">
        <v>8521468</v>
      </c>
      <c r="O34" s="193">
        <v>4191908</v>
      </c>
    </row>
    <row r="35" spans="2:19">
      <c r="C35" s="10" t="s">
        <v>115</v>
      </c>
      <c r="G35" s="25"/>
      <c r="H35" s="25"/>
      <c r="I35" s="25"/>
      <c r="J35" s="25"/>
      <c r="N35" s="29">
        <v>6807463</v>
      </c>
      <c r="O35" s="193">
        <v>1001383</v>
      </c>
    </row>
    <row r="36" spans="2:19">
      <c r="C36" s="2" t="s">
        <v>116</v>
      </c>
      <c r="G36" s="25"/>
      <c r="H36" s="25"/>
      <c r="I36" s="25"/>
      <c r="J36" s="25"/>
      <c r="N36" s="193">
        <v>3038931</v>
      </c>
      <c r="O36" s="193">
        <v>3038931</v>
      </c>
    </row>
    <row r="37" spans="2:19">
      <c r="C37" s="2" t="s">
        <v>117</v>
      </c>
      <c r="G37" s="25"/>
      <c r="H37" s="25"/>
      <c r="I37" s="25"/>
      <c r="J37" s="25"/>
      <c r="N37" s="193">
        <v>6913200</v>
      </c>
      <c r="O37" s="193">
        <v>6913200</v>
      </c>
    </row>
    <row r="38" spans="2:19">
      <c r="C38" s="2" t="s">
        <v>325</v>
      </c>
      <c r="G38" s="25"/>
      <c r="H38" s="25"/>
      <c r="I38" s="25"/>
      <c r="J38" s="25"/>
      <c r="N38" s="29">
        <v>8884318</v>
      </c>
      <c r="O38" s="45">
        <v>9174622</v>
      </c>
    </row>
    <row r="39" spans="2:19">
      <c r="C39" s="2" t="s">
        <v>312</v>
      </c>
      <c r="G39" s="25"/>
      <c r="H39" s="25"/>
      <c r="I39" s="25"/>
      <c r="J39" s="25"/>
      <c r="N39" s="29">
        <v>3807170</v>
      </c>
      <c r="O39" s="45">
        <v>4091975</v>
      </c>
    </row>
    <row r="40" spans="2:19">
      <c r="C40" s="2" t="s">
        <v>326</v>
      </c>
      <c r="N40" s="132">
        <v>85164335</v>
      </c>
      <c r="O40" s="40">
        <v>23440498</v>
      </c>
    </row>
    <row r="41" spans="2:19" ht="15.75" thickBot="1">
      <c r="E41" s="61"/>
      <c r="F41" s="61"/>
      <c r="G41" s="61"/>
      <c r="H41" s="61"/>
      <c r="I41" s="61"/>
      <c r="J41" s="61"/>
      <c r="N41" s="94">
        <f>SUM(N33:N40)</f>
        <v>128588793</v>
      </c>
      <c r="O41" s="194">
        <f>SUM(O33:O40)</f>
        <v>58387402</v>
      </c>
      <c r="S41" s="2">
        <f>N41-O41</f>
        <v>70201391</v>
      </c>
    </row>
    <row r="42" spans="2:19" ht="15.75" thickTop="1">
      <c r="E42" s="61"/>
      <c r="F42" s="61"/>
      <c r="G42" s="61"/>
      <c r="H42" s="61"/>
      <c r="I42" s="61"/>
      <c r="J42" s="61"/>
      <c r="N42" s="3"/>
      <c r="O42" s="38"/>
    </row>
    <row r="43" spans="2:19">
      <c r="E43" s="61"/>
      <c r="F43" s="61"/>
      <c r="G43" s="61"/>
      <c r="H43" s="61"/>
      <c r="I43" s="61"/>
      <c r="J43" s="61"/>
      <c r="N43" s="3"/>
      <c r="O43" s="38"/>
    </row>
    <row r="44" spans="2:19" ht="15.75" thickBot="1">
      <c r="B44" s="52">
        <f>B31+1</f>
        <v>16</v>
      </c>
      <c r="C44" s="2" t="s">
        <v>119</v>
      </c>
      <c r="E44" s="61"/>
      <c r="F44" s="61"/>
      <c r="G44" s="61"/>
      <c r="H44" s="61"/>
      <c r="I44" s="61"/>
      <c r="J44" s="61"/>
      <c r="N44" s="94">
        <f>13808952+1151334</f>
        <v>14960286</v>
      </c>
      <c r="O44" s="94">
        <f>13808952+1151334</f>
        <v>14960286</v>
      </c>
    </row>
    <row r="45" spans="2:19" ht="15.75" thickTop="1">
      <c r="E45" s="61"/>
      <c r="F45" s="61"/>
      <c r="G45" s="61"/>
      <c r="H45" s="61"/>
      <c r="I45" s="61"/>
      <c r="J45" s="61"/>
      <c r="K45" s="14"/>
      <c r="L45" s="14"/>
      <c r="M45" s="14"/>
      <c r="N45" s="2"/>
      <c r="O45" s="195"/>
    </row>
    <row r="46" spans="2:19">
      <c r="C46" s="808" t="s">
        <v>327</v>
      </c>
      <c r="D46" s="808"/>
      <c r="E46" s="808"/>
      <c r="F46" s="808"/>
      <c r="G46" s="808"/>
      <c r="H46" s="808"/>
      <c r="I46" s="808"/>
      <c r="J46" s="808"/>
      <c r="K46" s="808"/>
      <c r="L46" s="808"/>
      <c r="M46" s="808"/>
      <c r="N46" s="808"/>
      <c r="O46" s="808"/>
    </row>
    <row r="47" spans="2:19">
      <c r="C47" s="808"/>
      <c r="D47" s="808"/>
      <c r="E47" s="808"/>
      <c r="F47" s="808"/>
      <c r="G47" s="808"/>
      <c r="H47" s="808"/>
      <c r="I47" s="808"/>
      <c r="J47" s="808"/>
      <c r="K47" s="808"/>
      <c r="L47" s="808"/>
      <c r="M47" s="808"/>
      <c r="N47" s="808"/>
      <c r="O47" s="808"/>
    </row>
    <row r="48" spans="2:19">
      <c r="C48" s="808"/>
      <c r="D48" s="808"/>
      <c r="E48" s="808"/>
      <c r="F48" s="808"/>
      <c r="G48" s="808"/>
      <c r="H48" s="808"/>
      <c r="I48" s="808"/>
      <c r="J48" s="808"/>
      <c r="K48" s="808"/>
      <c r="L48" s="808"/>
      <c r="M48" s="808"/>
      <c r="N48" s="808"/>
      <c r="O48" s="808"/>
    </row>
    <row r="49" spans="2:15">
      <c r="C49" s="808"/>
      <c r="D49" s="808"/>
      <c r="E49" s="808"/>
      <c r="F49" s="808"/>
      <c r="G49" s="808"/>
      <c r="H49" s="808"/>
      <c r="I49" s="808"/>
      <c r="J49" s="808"/>
      <c r="K49" s="808"/>
      <c r="L49" s="808"/>
      <c r="M49" s="808"/>
      <c r="N49" s="808"/>
      <c r="O49" s="808"/>
    </row>
    <row r="50" spans="2:15">
      <c r="C50" s="808"/>
      <c r="D50" s="808"/>
      <c r="E50" s="808"/>
      <c r="F50" s="808"/>
      <c r="G50" s="808"/>
      <c r="H50" s="808"/>
      <c r="I50" s="808"/>
      <c r="J50" s="808"/>
      <c r="K50" s="808"/>
      <c r="L50" s="808"/>
      <c r="M50" s="808"/>
      <c r="N50" s="808"/>
      <c r="O50" s="808"/>
    </row>
    <row r="51" spans="2:15">
      <c r="E51" s="61"/>
      <c r="F51" s="61"/>
      <c r="G51" s="61"/>
      <c r="H51" s="61"/>
      <c r="I51" s="61"/>
      <c r="J51" s="61"/>
      <c r="N51" s="14"/>
      <c r="O51" s="195"/>
    </row>
    <row r="52" spans="2:15">
      <c r="E52" s="61"/>
      <c r="F52" s="61"/>
      <c r="G52" s="61"/>
      <c r="H52" s="61"/>
      <c r="I52" s="61"/>
      <c r="J52" s="61"/>
      <c r="N52" s="14"/>
      <c r="O52" s="195"/>
    </row>
    <row r="53" spans="2:15">
      <c r="E53" s="61"/>
      <c r="F53" s="61"/>
      <c r="G53" s="61"/>
      <c r="H53" s="61"/>
      <c r="I53" s="61"/>
      <c r="J53" s="61"/>
      <c r="N53" s="14"/>
      <c r="O53" s="195"/>
    </row>
    <row r="54" spans="2:15">
      <c r="E54" s="61"/>
      <c r="F54" s="61"/>
      <c r="G54" s="61"/>
      <c r="H54" s="61"/>
      <c r="I54" s="61"/>
      <c r="J54" s="61"/>
      <c r="N54" s="14"/>
      <c r="O54" s="195"/>
    </row>
    <row r="55" spans="2:15">
      <c r="E55" s="61"/>
      <c r="F55" s="61"/>
      <c r="G55" s="61"/>
      <c r="H55" s="61"/>
      <c r="I55" s="61"/>
      <c r="J55" s="61"/>
      <c r="N55" s="14"/>
      <c r="O55" s="195"/>
    </row>
    <row r="56" spans="2:15">
      <c r="E56" s="61"/>
      <c r="F56" s="61"/>
      <c r="G56" s="61"/>
      <c r="H56" s="61"/>
      <c r="I56" s="61"/>
      <c r="J56" s="61"/>
      <c r="N56" s="14"/>
      <c r="O56" s="195"/>
    </row>
    <row r="57" spans="2:15">
      <c r="B57" s="52">
        <f>B44+1</f>
        <v>17</v>
      </c>
      <c r="C57" s="2" t="s">
        <v>28</v>
      </c>
      <c r="N57" s="182">
        <v>41364</v>
      </c>
      <c r="O57" s="182">
        <v>41090</v>
      </c>
    </row>
    <row r="59" spans="2:15">
      <c r="C59" s="2" t="s">
        <v>328</v>
      </c>
      <c r="N59" s="19">
        <v>98245</v>
      </c>
      <c r="O59" s="46">
        <v>1200000</v>
      </c>
    </row>
    <row r="60" spans="2:15">
      <c r="C60" s="2" t="s">
        <v>329</v>
      </c>
      <c r="N60" s="11">
        <v>109123</v>
      </c>
      <c r="O60" s="45">
        <v>301499</v>
      </c>
    </row>
    <row r="61" spans="2:15">
      <c r="C61" s="2" t="s">
        <v>330</v>
      </c>
      <c r="N61" s="11">
        <v>675486</v>
      </c>
      <c r="O61" s="45">
        <v>0</v>
      </c>
    </row>
    <row r="62" spans="2:15">
      <c r="C62" s="2" t="s">
        <v>331</v>
      </c>
      <c r="N62" s="11">
        <v>33500</v>
      </c>
      <c r="O62" s="11">
        <v>948760</v>
      </c>
    </row>
    <row r="63" spans="2:15">
      <c r="C63" s="2" t="s">
        <v>325</v>
      </c>
      <c r="N63" s="11">
        <f>23123+56</f>
        <v>23179</v>
      </c>
      <c r="O63" s="11">
        <v>0</v>
      </c>
    </row>
    <row r="64" spans="2:15">
      <c r="C64" s="2" t="s">
        <v>332</v>
      </c>
      <c r="N64" s="11">
        <v>0</v>
      </c>
      <c r="O64" s="45">
        <v>627000</v>
      </c>
    </row>
    <row r="65" spans="2:25">
      <c r="C65" s="2" t="s">
        <v>333</v>
      </c>
      <c r="N65" s="132">
        <v>0</v>
      </c>
      <c r="O65" s="132">
        <v>3891000</v>
      </c>
    </row>
    <row r="66" spans="2:25" ht="15.75" thickBot="1">
      <c r="N66" s="114">
        <f>SUM(N59:N65)</f>
        <v>939533</v>
      </c>
      <c r="O66" s="114">
        <f>SUM(O59:O65)</f>
        <v>6968259</v>
      </c>
    </row>
    <row r="67" spans="2:25" ht="15.75" thickTop="1">
      <c r="E67" s="61"/>
      <c r="F67" s="61"/>
      <c r="G67" s="61"/>
      <c r="H67" s="61"/>
      <c r="I67" s="61"/>
      <c r="J67" s="61"/>
      <c r="N67" s="2"/>
    </row>
    <row r="68" spans="2:25">
      <c r="B68" s="52">
        <f>B57+1</f>
        <v>18</v>
      </c>
      <c r="C68" s="2" t="s">
        <v>13</v>
      </c>
      <c r="E68" s="61"/>
      <c r="F68" s="61"/>
      <c r="G68" s="61"/>
      <c r="H68" s="61"/>
      <c r="I68" s="61"/>
      <c r="J68" s="61"/>
      <c r="N68" s="3" t="s">
        <v>1</v>
      </c>
      <c r="O68" s="38" t="s">
        <v>1</v>
      </c>
    </row>
    <row r="69" spans="2:25">
      <c r="E69" s="61"/>
      <c r="F69" s="61"/>
      <c r="G69" s="61"/>
      <c r="H69" s="61"/>
      <c r="I69" s="61"/>
      <c r="J69" s="61"/>
      <c r="N69" s="14"/>
      <c r="O69" s="195"/>
    </row>
    <row r="70" spans="2:25">
      <c r="C70" s="196" t="s">
        <v>159</v>
      </c>
      <c r="E70" s="61"/>
      <c r="F70" s="61"/>
      <c r="G70" s="61"/>
      <c r="H70" s="61"/>
      <c r="I70" s="61"/>
      <c r="J70" s="61"/>
      <c r="N70" s="14">
        <v>110201553</v>
      </c>
      <c r="O70" s="195">
        <f>372121+39000000</f>
        <v>39372121</v>
      </c>
    </row>
    <row r="71" spans="2:25">
      <c r="C71" s="196" t="s">
        <v>391</v>
      </c>
      <c r="E71" s="61"/>
      <c r="F71" s="61"/>
      <c r="G71" s="61"/>
      <c r="H71" s="61"/>
      <c r="I71" s="61"/>
      <c r="J71" s="61"/>
      <c r="N71" s="14" t="e">
        <f>SOPL!#REF!</f>
        <v>#REF!</v>
      </c>
      <c r="O71" s="195">
        <v>112000000</v>
      </c>
    </row>
    <row r="72" spans="2:25">
      <c r="C72" s="196" t="s">
        <v>394</v>
      </c>
      <c r="E72" s="61"/>
      <c r="F72" s="61"/>
      <c r="G72" s="61"/>
      <c r="H72" s="61"/>
      <c r="I72" s="61"/>
      <c r="J72" s="61"/>
      <c r="N72" s="16">
        <v>14903860</v>
      </c>
      <c r="O72" s="246">
        <v>-770285</v>
      </c>
      <c r="Q72" s="2">
        <f>N70-N74-N75</f>
        <v>14978808</v>
      </c>
    </row>
    <row r="73" spans="2:25">
      <c r="C73" s="196" t="s">
        <v>334</v>
      </c>
      <c r="E73" s="61"/>
      <c r="F73" s="61"/>
      <c r="G73" s="61"/>
      <c r="H73" s="61"/>
      <c r="I73" s="61"/>
      <c r="J73" s="61"/>
      <c r="N73" s="32" t="e">
        <f>SUM(N70:N72)</f>
        <v>#REF!</v>
      </c>
      <c r="O73" s="257">
        <f>SUM(O70:O72)</f>
        <v>150601836</v>
      </c>
      <c r="Q73" s="2">
        <f>Q74-Q72</f>
        <v>14903860</v>
      </c>
    </row>
    <row r="74" spans="2:25">
      <c r="C74" s="196" t="s">
        <v>335</v>
      </c>
      <c r="E74" s="61"/>
      <c r="F74" s="61"/>
      <c r="G74" s="61"/>
      <c r="H74" s="61"/>
      <c r="I74" s="61"/>
      <c r="J74" s="61"/>
      <c r="N74" s="14">
        <v>46586370</v>
      </c>
      <c r="O74" s="195">
        <v>40400283</v>
      </c>
      <c r="Q74" s="2">
        <f>27904820+1977848</f>
        <v>29882668</v>
      </c>
    </row>
    <row r="75" spans="2:25">
      <c r="C75" s="196" t="s">
        <v>336</v>
      </c>
      <c r="E75" s="61"/>
      <c r="F75" s="61"/>
      <c r="G75" s="61"/>
      <c r="H75" s="61"/>
      <c r="I75" s="61"/>
      <c r="J75" s="61"/>
      <c r="N75" s="16">
        <v>48636375</v>
      </c>
      <c r="O75" s="246">
        <v>0</v>
      </c>
    </row>
    <row r="76" spans="2:25">
      <c r="C76" s="197" t="s">
        <v>334</v>
      </c>
      <c r="E76" s="61"/>
      <c r="F76" s="61"/>
      <c r="G76" s="61"/>
      <c r="H76" s="61"/>
      <c r="I76" s="61"/>
      <c r="J76" s="61"/>
      <c r="N76" s="14">
        <f>SUM(N74:N75)</f>
        <v>95222745</v>
      </c>
      <c r="O76" s="14">
        <f>SUM(O74:O75)</f>
        <v>40400283</v>
      </c>
    </row>
    <row r="77" spans="2:25" ht="15.75" thickBot="1">
      <c r="C77" s="196" t="s">
        <v>337</v>
      </c>
      <c r="E77" s="61"/>
      <c r="F77" s="61"/>
      <c r="G77" s="61"/>
      <c r="H77" s="61"/>
      <c r="I77" s="61"/>
      <c r="J77" s="61"/>
      <c r="N77" s="33" t="e">
        <f>N73-N76</f>
        <v>#REF!</v>
      </c>
      <c r="O77" s="33">
        <f>O73-O76</f>
        <v>110201553</v>
      </c>
    </row>
    <row r="78" spans="2:25" ht="15.75" thickTop="1">
      <c r="C78" s="196"/>
      <c r="E78" s="61"/>
      <c r="F78" s="61"/>
      <c r="G78" s="61"/>
      <c r="H78" s="61"/>
      <c r="I78" s="61"/>
      <c r="J78" s="61"/>
      <c r="N78" s="14"/>
      <c r="O78" s="195"/>
    </row>
    <row r="79" spans="2:25">
      <c r="B79" s="198">
        <f>B68+1</f>
        <v>19</v>
      </c>
      <c r="C79" s="6" t="s">
        <v>34</v>
      </c>
      <c r="D79" s="10"/>
      <c r="E79" s="22"/>
      <c r="F79" s="22"/>
      <c r="G79" s="61"/>
      <c r="H79" s="61"/>
      <c r="I79" s="61"/>
      <c r="J79" s="61"/>
      <c r="N79" s="2"/>
      <c r="S79" s="17"/>
      <c r="T79" s="133"/>
      <c r="U79" s="62"/>
      <c r="V79" s="62"/>
      <c r="W79" s="128">
        <f>Y79</f>
        <v>870</v>
      </c>
      <c r="X79" s="22"/>
      <c r="Y79" s="128">
        <v>870</v>
      </c>
    </row>
    <row r="80" spans="2:25">
      <c r="B80" s="123"/>
      <c r="C80" s="10"/>
      <c r="D80" s="10"/>
      <c r="E80" s="22"/>
      <c r="F80" s="22"/>
      <c r="G80" s="22"/>
      <c r="H80" s="22"/>
      <c r="K80" s="22"/>
      <c r="L80" s="22"/>
      <c r="M80" s="22"/>
      <c r="N80" s="7"/>
      <c r="O80" s="199"/>
      <c r="P80" s="5"/>
    </row>
    <row r="81" spans="2:25">
      <c r="B81" s="59"/>
      <c r="C81" s="10" t="s">
        <v>517</v>
      </c>
      <c r="D81" s="133"/>
      <c r="E81" s="62"/>
      <c r="F81" s="62"/>
      <c r="G81" s="25"/>
      <c r="H81" s="25"/>
      <c r="I81" s="62"/>
      <c r="J81" s="62"/>
      <c r="K81" s="62"/>
      <c r="L81" s="62"/>
      <c r="M81" s="62"/>
      <c r="N81" s="48">
        <v>4800000</v>
      </c>
      <c r="O81" s="48">
        <f>O100</f>
        <v>4800000</v>
      </c>
      <c r="P81" s="25"/>
      <c r="S81" s="17"/>
      <c r="T81" s="133"/>
      <c r="U81" s="62"/>
      <c r="V81" s="62"/>
      <c r="W81" s="128">
        <v>9364</v>
      </c>
      <c r="X81" s="22"/>
      <c r="Y81" s="128">
        <v>9364</v>
      </c>
    </row>
    <row r="82" spans="2:25">
      <c r="B82" s="59"/>
      <c r="C82" s="10" t="s">
        <v>338</v>
      </c>
      <c r="D82" s="133"/>
      <c r="E82" s="62"/>
      <c r="F82" s="62"/>
      <c r="G82" s="25"/>
      <c r="H82" s="25"/>
      <c r="I82" s="62"/>
      <c r="J82" s="62"/>
      <c r="K82" s="62"/>
      <c r="L82" s="62"/>
      <c r="M82" s="62"/>
      <c r="N82" s="200">
        <v>0</v>
      </c>
      <c r="O82" s="47">
        <v>28623668</v>
      </c>
      <c r="P82" s="25"/>
      <c r="S82" s="17"/>
      <c r="T82" s="133"/>
      <c r="U82" s="62"/>
      <c r="V82" s="62"/>
      <c r="W82" s="18"/>
      <c r="X82" s="22"/>
      <c r="Y82" s="18"/>
    </row>
    <row r="83" spans="2:25">
      <c r="B83" s="59"/>
      <c r="C83" s="10" t="s">
        <v>339</v>
      </c>
      <c r="D83" s="133"/>
      <c r="E83" s="62"/>
      <c r="F83" s="62"/>
      <c r="G83" s="25"/>
      <c r="H83" s="25"/>
      <c r="I83" s="62"/>
      <c r="J83" s="62"/>
      <c r="K83" s="62"/>
      <c r="L83" s="62"/>
      <c r="M83" s="62"/>
      <c r="N83" s="200">
        <v>0</v>
      </c>
      <c r="O83" s="47">
        <v>172500</v>
      </c>
      <c r="P83" s="25"/>
      <c r="S83" s="17"/>
      <c r="T83" s="133"/>
      <c r="U83" s="62"/>
      <c r="V83" s="62"/>
      <c r="W83" s="18"/>
      <c r="X83" s="22"/>
      <c r="Y83" s="18"/>
    </row>
    <row r="84" spans="2:25">
      <c r="B84" s="59"/>
      <c r="C84" s="10" t="s">
        <v>202</v>
      </c>
      <c r="D84" s="133"/>
      <c r="E84" s="62"/>
      <c r="F84" s="62"/>
      <c r="G84" s="25"/>
      <c r="H84" s="25"/>
      <c r="I84" s="62"/>
      <c r="J84" s="62"/>
      <c r="K84" s="62"/>
      <c r="L84" s="62"/>
      <c r="M84" s="62"/>
      <c r="N84" s="128">
        <v>30000</v>
      </c>
      <c r="O84" s="43">
        <v>0</v>
      </c>
      <c r="P84" s="25"/>
      <c r="S84" s="12"/>
      <c r="T84" s="133"/>
      <c r="U84" s="62"/>
      <c r="V84" s="62"/>
      <c r="W84" s="18"/>
      <c r="X84" s="22"/>
      <c r="Y84" s="62"/>
    </row>
    <row r="85" spans="2:25">
      <c r="B85" s="59"/>
      <c r="C85" s="17" t="s">
        <v>172</v>
      </c>
      <c r="D85" s="133"/>
      <c r="E85" s="62"/>
      <c r="F85" s="62"/>
      <c r="G85" s="25"/>
      <c r="H85" s="25"/>
      <c r="I85" s="62"/>
      <c r="J85" s="62"/>
      <c r="K85" s="62"/>
      <c r="L85" s="62"/>
      <c r="M85" s="62"/>
      <c r="N85" s="128">
        <v>457137</v>
      </c>
      <c r="O85" s="43">
        <v>350000</v>
      </c>
      <c r="P85" s="25"/>
      <c r="W85" s="2">
        <f>SUM(W79:W81)</f>
        <v>10234</v>
      </c>
      <c r="Y85" s="2">
        <f>SUM(Y79:Y81)</f>
        <v>10234</v>
      </c>
    </row>
    <row r="86" spans="2:25">
      <c r="B86" s="59"/>
      <c r="C86" s="17" t="s">
        <v>367</v>
      </c>
      <c r="D86" s="133"/>
      <c r="E86" s="62"/>
      <c r="F86" s="62"/>
      <c r="G86" s="25"/>
      <c r="H86" s="25"/>
      <c r="I86" s="62"/>
      <c r="J86" s="62"/>
      <c r="K86" s="62"/>
      <c r="L86" s="62"/>
      <c r="M86" s="62"/>
      <c r="N86" s="128">
        <v>45000</v>
      </c>
      <c r="O86" s="43">
        <v>0</v>
      </c>
      <c r="P86" s="25"/>
    </row>
    <row r="87" spans="2:25">
      <c r="B87" s="59"/>
      <c r="C87" s="17" t="s">
        <v>368</v>
      </c>
      <c r="D87" s="133"/>
      <c r="E87" s="62"/>
      <c r="F87" s="62"/>
      <c r="G87" s="25"/>
      <c r="H87" s="25"/>
      <c r="I87" s="62"/>
      <c r="J87" s="62"/>
      <c r="K87" s="62"/>
      <c r="L87" s="62"/>
      <c r="M87" s="62"/>
      <c r="N87" s="128">
        <v>6430</v>
      </c>
      <c r="O87" s="43">
        <v>0</v>
      </c>
      <c r="P87" s="25"/>
    </row>
    <row r="88" spans="2:25">
      <c r="B88" s="59"/>
      <c r="C88" s="17" t="s">
        <v>366</v>
      </c>
      <c r="D88" s="133"/>
      <c r="E88" s="62"/>
      <c r="F88" s="62"/>
      <c r="G88" s="25"/>
      <c r="H88" s="25"/>
      <c r="I88" s="62"/>
      <c r="J88" s="62"/>
      <c r="K88" s="62"/>
      <c r="L88" s="62"/>
      <c r="M88" s="62"/>
      <c r="N88" s="128">
        <v>164749</v>
      </c>
      <c r="O88" s="43">
        <v>0</v>
      </c>
      <c r="P88" s="25"/>
    </row>
    <row r="89" spans="2:25">
      <c r="B89" s="59"/>
      <c r="C89" s="12" t="s">
        <v>176</v>
      </c>
      <c r="D89" s="133"/>
      <c r="E89" s="62"/>
      <c r="F89" s="62"/>
      <c r="G89" s="25"/>
      <c r="H89" s="25"/>
      <c r="I89" s="62"/>
      <c r="J89" s="62"/>
      <c r="K89" s="127"/>
      <c r="L89" s="127"/>
      <c r="M89" s="127"/>
      <c r="N89" s="128">
        <v>2859041</v>
      </c>
      <c r="O89" s="43">
        <f>534367</f>
        <v>534367</v>
      </c>
      <c r="P89" s="25"/>
    </row>
    <row r="90" spans="2:25">
      <c r="B90" s="59"/>
      <c r="C90" s="12" t="s">
        <v>326</v>
      </c>
      <c r="D90" s="133"/>
      <c r="E90" s="62"/>
      <c r="F90" s="62"/>
      <c r="G90" s="25"/>
      <c r="H90" s="25"/>
      <c r="I90" s="62"/>
      <c r="J90" s="62"/>
      <c r="K90" s="127"/>
      <c r="L90" s="127"/>
      <c r="M90" s="127"/>
      <c r="N90" s="20">
        <v>9364</v>
      </c>
      <c r="O90" s="44">
        <v>40234</v>
      </c>
      <c r="P90" s="25"/>
    </row>
    <row r="91" spans="2:25" ht="15.75" thickBot="1">
      <c r="B91" s="59"/>
      <c r="C91" s="138"/>
      <c r="D91" s="10"/>
      <c r="E91" s="25"/>
      <c r="F91" s="25"/>
      <c r="G91" s="25"/>
      <c r="H91" s="25"/>
      <c r="I91" s="25"/>
      <c r="J91" s="25"/>
      <c r="K91" s="127"/>
      <c r="L91" s="127"/>
      <c r="M91" s="127"/>
      <c r="N91" s="139">
        <f>SUM(N81:N90)</f>
        <v>8371721</v>
      </c>
      <c r="O91" s="201">
        <f>SUM(O81:O90)</f>
        <v>34520769</v>
      </c>
      <c r="P91" s="25"/>
    </row>
    <row r="92" spans="2:25" ht="15.75" thickTop="1">
      <c r="B92" s="59"/>
      <c r="C92" s="138"/>
      <c r="D92" s="10"/>
      <c r="E92" s="25"/>
      <c r="F92" s="25"/>
      <c r="G92" s="25"/>
      <c r="H92" s="25"/>
      <c r="I92" s="25"/>
      <c r="J92" s="25"/>
      <c r="K92" s="127"/>
      <c r="L92" s="127"/>
      <c r="M92" s="127"/>
      <c r="N92" s="136"/>
      <c r="O92" s="41"/>
      <c r="P92" s="25"/>
    </row>
    <row r="93" spans="2:25">
      <c r="B93" s="153">
        <f>B79+0.1</f>
        <v>19.100000000000001</v>
      </c>
      <c r="C93" s="808" t="s">
        <v>340</v>
      </c>
      <c r="D93" s="808"/>
      <c r="E93" s="808"/>
      <c r="F93" s="808"/>
      <c r="G93" s="808"/>
      <c r="H93" s="808"/>
      <c r="I93" s="808"/>
      <c r="J93" s="808"/>
      <c r="K93" s="808"/>
      <c r="L93" s="808"/>
      <c r="M93" s="808"/>
      <c r="N93" s="808"/>
      <c r="O93" s="808"/>
      <c r="P93" s="25"/>
    </row>
    <row r="94" spans="2:25">
      <c r="B94" s="153"/>
      <c r="C94" s="808"/>
      <c r="D94" s="808"/>
      <c r="E94" s="808"/>
      <c r="F94" s="808"/>
      <c r="G94" s="808"/>
      <c r="H94" s="808"/>
      <c r="I94" s="808"/>
      <c r="J94" s="808"/>
      <c r="K94" s="808"/>
      <c r="L94" s="808"/>
      <c r="M94" s="808"/>
      <c r="N94" s="808"/>
      <c r="O94" s="808"/>
      <c r="P94" s="25"/>
    </row>
    <row r="95" spans="2:25">
      <c r="B95" s="59"/>
      <c r="C95" s="808"/>
      <c r="D95" s="808"/>
      <c r="E95" s="808"/>
      <c r="F95" s="808"/>
      <c r="G95" s="808"/>
      <c r="H95" s="808"/>
      <c r="I95" s="808"/>
      <c r="J95" s="808"/>
      <c r="K95" s="808"/>
      <c r="L95" s="808"/>
      <c r="M95" s="808"/>
      <c r="N95" s="808"/>
      <c r="O95" s="808"/>
      <c r="P95" s="25"/>
    </row>
    <row r="96" spans="2:25">
      <c r="B96" s="59"/>
      <c r="C96" s="808"/>
      <c r="D96" s="808"/>
      <c r="E96" s="808"/>
      <c r="F96" s="808"/>
      <c r="G96" s="808"/>
      <c r="H96" s="808"/>
      <c r="I96" s="808"/>
      <c r="J96" s="808"/>
      <c r="K96" s="808"/>
      <c r="L96" s="808"/>
      <c r="M96" s="808"/>
      <c r="N96" s="808"/>
      <c r="O96" s="808"/>
      <c r="P96" s="25"/>
    </row>
    <row r="97" spans="2:16">
      <c r="B97" s="59"/>
      <c r="C97" s="140"/>
      <c r="D97" s="140"/>
      <c r="E97" s="140"/>
      <c r="F97" s="140"/>
      <c r="G97" s="140"/>
      <c r="H97" s="140"/>
      <c r="I97" s="140"/>
      <c r="J97" s="140"/>
      <c r="K97" s="140"/>
      <c r="L97" s="140"/>
      <c r="M97" s="140"/>
      <c r="N97" s="202"/>
      <c r="O97" s="203"/>
      <c r="P97" s="25"/>
    </row>
    <row r="98" spans="2:16">
      <c r="B98" s="59"/>
      <c r="C98" s="141" t="s">
        <v>159</v>
      </c>
      <c r="G98" s="140"/>
      <c r="H98" s="140"/>
      <c r="I98" s="140"/>
      <c r="J98" s="140"/>
      <c r="K98" s="140"/>
      <c r="L98" s="140"/>
      <c r="M98" s="140"/>
      <c r="N98" s="204">
        <f>O100</f>
        <v>4800000</v>
      </c>
      <c r="O98" s="205">
        <v>3600000</v>
      </c>
      <c r="P98" s="25"/>
    </row>
    <row r="99" spans="2:16">
      <c r="B99" s="59"/>
      <c r="C99" s="141" t="s">
        <v>179</v>
      </c>
      <c r="D99" s="140"/>
      <c r="G99" s="140"/>
      <c r="H99" s="140"/>
      <c r="I99" s="140"/>
      <c r="J99" s="140"/>
      <c r="K99" s="140"/>
      <c r="L99" s="140"/>
      <c r="M99" s="140"/>
      <c r="N99" s="206">
        <v>0</v>
      </c>
      <c r="O99" s="204">
        <v>1200000</v>
      </c>
      <c r="P99" s="25"/>
    </row>
    <row r="100" spans="2:16" ht="15.75" thickBot="1">
      <c r="C100" s="2" t="s">
        <v>341</v>
      </c>
      <c r="D100" s="140"/>
      <c r="I100" s="140"/>
      <c r="J100" s="140"/>
      <c r="K100" s="140"/>
      <c r="L100" s="140"/>
      <c r="M100" s="140"/>
      <c r="N100" s="207">
        <f>N98+N99</f>
        <v>4800000</v>
      </c>
      <c r="O100" s="208">
        <f>O98+O99</f>
        <v>4800000</v>
      </c>
      <c r="P100" s="25"/>
    </row>
    <row r="101" spans="2:16" ht="15.75" thickTop="1">
      <c r="B101" s="59"/>
      <c r="C101" s="138"/>
      <c r="D101" s="10"/>
      <c r="E101" s="25"/>
      <c r="F101" s="25"/>
      <c r="G101" s="25"/>
      <c r="H101" s="25"/>
      <c r="I101" s="25"/>
      <c r="J101" s="25"/>
      <c r="K101" s="127"/>
      <c r="L101" s="127"/>
      <c r="M101" s="127"/>
      <c r="N101" s="136"/>
      <c r="O101" s="41"/>
      <c r="P101" s="25"/>
    </row>
    <row r="102" spans="2:16">
      <c r="B102" s="59"/>
      <c r="C102" s="138"/>
      <c r="D102" s="10"/>
      <c r="E102" s="25"/>
      <c r="F102" s="25"/>
      <c r="G102" s="25"/>
      <c r="H102" s="25"/>
      <c r="I102" s="25"/>
      <c r="J102" s="25"/>
      <c r="K102" s="127"/>
      <c r="L102" s="127"/>
      <c r="M102" s="127"/>
      <c r="N102" s="136"/>
      <c r="O102" s="41"/>
      <c r="P102" s="25"/>
    </row>
    <row r="103" spans="2:16">
      <c r="B103" s="59"/>
      <c r="C103" s="138"/>
      <c r="D103" s="10"/>
      <c r="E103" s="25"/>
      <c r="F103" s="25"/>
      <c r="G103" s="25"/>
      <c r="H103" s="25"/>
      <c r="I103" s="25"/>
      <c r="J103" s="25"/>
      <c r="K103" s="127"/>
      <c r="L103" s="127"/>
      <c r="M103" s="127"/>
      <c r="N103" s="136"/>
      <c r="O103" s="41"/>
      <c r="P103" s="25"/>
    </row>
    <row r="104" spans="2:16">
      <c r="B104" s="59"/>
      <c r="C104" s="138"/>
      <c r="D104" s="10"/>
      <c r="E104" s="25"/>
      <c r="F104" s="25"/>
      <c r="G104" s="25"/>
      <c r="H104" s="25"/>
      <c r="I104" s="25"/>
      <c r="J104" s="25"/>
      <c r="K104" s="127"/>
      <c r="L104" s="127"/>
      <c r="M104" s="127"/>
      <c r="N104" s="136"/>
      <c r="O104" s="41"/>
      <c r="P104" s="25"/>
    </row>
    <row r="105" spans="2:16">
      <c r="B105" s="59"/>
      <c r="C105" s="138"/>
      <c r="D105" s="10"/>
      <c r="E105" s="25"/>
      <c r="F105" s="25"/>
      <c r="G105" s="25"/>
      <c r="H105" s="25"/>
      <c r="I105" s="25"/>
      <c r="J105" s="25"/>
      <c r="K105" s="127"/>
      <c r="L105" s="127"/>
      <c r="M105" s="127"/>
      <c r="N105" s="136"/>
      <c r="O105" s="41"/>
      <c r="P105" s="25"/>
    </row>
    <row r="106" spans="2:16">
      <c r="B106" s="59"/>
      <c r="C106" s="138"/>
      <c r="D106" s="10"/>
      <c r="E106" s="25"/>
      <c r="F106" s="25"/>
      <c r="G106" s="25"/>
      <c r="H106" s="25"/>
      <c r="I106" s="25"/>
      <c r="J106" s="25"/>
      <c r="K106" s="127"/>
      <c r="L106" s="127"/>
      <c r="M106" s="127"/>
      <c r="N106" s="136"/>
      <c r="O106" s="41"/>
      <c r="P106" s="25"/>
    </row>
    <row r="107" spans="2:16">
      <c r="B107" s="59"/>
      <c r="C107" s="138"/>
      <c r="D107" s="10"/>
      <c r="E107" s="25"/>
      <c r="F107" s="25"/>
      <c r="G107" s="25"/>
      <c r="H107" s="25"/>
      <c r="I107" s="25"/>
      <c r="J107" s="25"/>
      <c r="K107" s="127"/>
      <c r="L107" s="127"/>
      <c r="M107" s="127"/>
      <c r="N107" s="136"/>
      <c r="O107" s="41"/>
      <c r="P107" s="25"/>
    </row>
    <row r="108" spans="2:16">
      <c r="B108" s="59"/>
      <c r="C108" s="138"/>
      <c r="D108" s="10"/>
      <c r="E108" s="25"/>
      <c r="F108" s="25"/>
      <c r="G108" s="25"/>
      <c r="H108" s="25"/>
      <c r="I108" s="25"/>
      <c r="J108" s="25"/>
      <c r="K108" s="127"/>
      <c r="L108" s="127"/>
      <c r="M108" s="127"/>
      <c r="N108" s="136"/>
      <c r="O108" s="41"/>
      <c r="P108" s="25"/>
    </row>
    <row r="109" spans="2:16">
      <c r="B109" s="59"/>
      <c r="C109" s="138"/>
      <c r="D109" s="10"/>
      <c r="E109" s="25"/>
      <c r="F109" s="25"/>
      <c r="G109" s="25"/>
      <c r="H109" s="25"/>
      <c r="I109" s="25"/>
      <c r="J109" s="25"/>
      <c r="K109" s="127"/>
      <c r="L109" s="127"/>
      <c r="M109" s="127"/>
      <c r="N109" s="136"/>
      <c r="O109" s="41"/>
      <c r="P109" s="25"/>
    </row>
    <row r="110" spans="2:16">
      <c r="B110" s="59"/>
      <c r="C110" s="138"/>
      <c r="D110" s="10"/>
      <c r="E110" s="25"/>
      <c r="F110" s="25"/>
      <c r="G110" s="25"/>
      <c r="H110" s="25"/>
      <c r="I110" s="25"/>
      <c r="J110" s="25"/>
      <c r="K110" s="127"/>
      <c r="L110" s="127"/>
      <c r="M110" s="127"/>
      <c r="N110" s="136"/>
      <c r="O110" s="41"/>
      <c r="P110" s="25"/>
    </row>
    <row r="111" spans="2:16">
      <c r="B111" s="59"/>
      <c r="C111" s="138"/>
      <c r="D111" s="10"/>
      <c r="E111" s="25"/>
      <c r="F111" s="25"/>
      <c r="G111" s="25"/>
      <c r="H111" s="25"/>
      <c r="I111" s="25"/>
      <c r="J111" s="25"/>
      <c r="K111" s="127"/>
      <c r="L111" s="127"/>
      <c r="M111" s="127"/>
      <c r="N111" s="136"/>
      <c r="O111" s="41"/>
      <c r="P111" s="25"/>
    </row>
    <row r="112" spans="2:16">
      <c r="B112" s="59"/>
      <c r="C112" s="138"/>
      <c r="D112" s="10"/>
      <c r="E112" s="25"/>
      <c r="F112" s="25"/>
      <c r="G112" s="25"/>
      <c r="H112" s="25"/>
      <c r="I112" s="25"/>
      <c r="J112" s="25"/>
      <c r="K112" s="127"/>
      <c r="L112" s="127"/>
      <c r="M112" s="127"/>
      <c r="N112" s="136"/>
      <c r="O112" s="41"/>
      <c r="P112" s="25"/>
    </row>
    <row r="113" spans="2:21">
      <c r="B113" s="59"/>
      <c r="C113" s="138"/>
      <c r="D113" s="10"/>
      <c r="E113" s="25"/>
      <c r="F113" s="25"/>
      <c r="G113" s="25"/>
      <c r="H113" s="25"/>
      <c r="I113" s="25"/>
      <c r="J113" s="25"/>
      <c r="K113" s="127"/>
      <c r="L113" s="127"/>
      <c r="M113" s="127"/>
      <c r="N113" s="136"/>
      <c r="O113" s="41"/>
      <c r="P113" s="25"/>
    </row>
    <row r="114" spans="2:21">
      <c r="B114" s="59"/>
      <c r="C114" s="138"/>
      <c r="D114" s="10"/>
      <c r="E114" s="25"/>
      <c r="F114" s="25"/>
      <c r="G114" s="25"/>
      <c r="H114" s="25"/>
      <c r="I114" s="25"/>
      <c r="J114" s="25"/>
      <c r="K114" s="127"/>
      <c r="L114" s="127"/>
      <c r="M114" s="127"/>
      <c r="N114" s="209" t="s">
        <v>40</v>
      </c>
      <c r="O114" s="209" t="s">
        <v>41</v>
      </c>
      <c r="Q114" s="209" t="s">
        <v>370</v>
      </c>
      <c r="S114" s="209" t="s">
        <v>369</v>
      </c>
    </row>
    <row r="115" spans="2:21">
      <c r="B115" s="59"/>
      <c r="C115" s="138"/>
      <c r="D115" s="10"/>
      <c r="E115" s="25"/>
      <c r="F115" s="25"/>
      <c r="G115" s="25"/>
      <c r="H115" s="25"/>
      <c r="I115" s="25"/>
      <c r="J115" s="25"/>
      <c r="K115" s="127"/>
      <c r="L115" s="127"/>
      <c r="M115" s="127"/>
      <c r="N115" s="136"/>
      <c r="O115" s="41"/>
      <c r="P115" s="25"/>
    </row>
    <row r="116" spans="2:21" ht="15.75" thickBot="1">
      <c r="B116" s="52">
        <f>B79+1</f>
        <v>20</v>
      </c>
      <c r="C116" s="149" t="s">
        <v>15</v>
      </c>
      <c r="D116" s="133"/>
      <c r="E116" s="25"/>
      <c r="F116" s="25"/>
      <c r="G116" s="25"/>
      <c r="H116" s="25"/>
      <c r="I116" s="25"/>
      <c r="J116" s="25"/>
      <c r="K116" s="127"/>
      <c r="L116" s="127"/>
      <c r="M116" s="127"/>
      <c r="N116" s="210" t="e">
        <f>SOPL!#REF!</f>
        <v>#REF!</v>
      </c>
      <c r="O116" s="211" t="e">
        <f>SOPL!#REF!</f>
        <v>#REF!</v>
      </c>
      <c r="P116" s="25"/>
      <c r="Q116" s="60" t="e">
        <f>SOPL!#REF!</f>
        <v>#REF!</v>
      </c>
      <c r="S116" s="60" t="e">
        <f>SOPL!#REF!</f>
        <v>#REF!</v>
      </c>
    </row>
    <row r="117" spans="2:21" ht="15.75" thickTop="1">
      <c r="B117" s="59"/>
      <c r="C117" s="138"/>
      <c r="D117" s="10"/>
      <c r="E117" s="25"/>
      <c r="F117" s="25"/>
      <c r="G117" s="25"/>
      <c r="H117" s="25"/>
      <c r="I117" s="25"/>
      <c r="J117" s="25"/>
      <c r="K117" s="127"/>
      <c r="L117" s="127"/>
      <c r="M117" s="127"/>
      <c r="N117" s="136"/>
      <c r="O117" s="41"/>
      <c r="P117" s="25"/>
    </row>
    <row r="118" spans="2:21">
      <c r="B118" s="59"/>
      <c r="C118" s="808" t="s">
        <v>342</v>
      </c>
      <c r="D118" s="808"/>
      <c r="E118" s="808"/>
      <c r="F118" s="808"/>
      <c r="G118" s="808"/>
      <c r="H118" s="808"/>
      <c r="I118" s="808"/>
      <c r="J118" s="808"/>
      <c r="K118" s="808"/>
      <c r="L118" s="808"/>
      <c r="M118" s="808"/>
      <c r="N118" s="808"/>
      <c r="O118" s="808"/>
      <c r="P118" s="808"/>
      <c r="Q118" s="808"/>
      <c r="R118" s="808"/>
      <c r="S118" s="808"/>
    </row>
    <row r="119" spans="2:21">
      <c r="B119" s="59"/>
      <c r="C119" s="808"/>
      <c r="D119" s="808"/>
      <c r="E119" s="808"/>
      <c r="F119" s="808"/>
      <c r="G119" s="808"/>
      <c r="H119" s="808"/>
      <c r="I119" s="808"/>
      <c r="J119" s="808"/>
      <c r="K119" s="808"/>
      <c r="L119" s="808"/>
      <c r="M119" s="808"/>
      <c r="N119" s="808"/>
      <c r="O119" s="808"/>
      <c r="P119" s="808"/>
      <c r="Q119" s="808"/>
      <c r="R119" s="808"/>
      <c r="S119" s="808"/>
    </row>
    <row r="120" spans="2:21">
      <c r="B120" s="59"/>
      <c r="C120" s="808"/>
      <c r="D120" s="808"/>
      <c r="E120" s="808"/>
      <c r="F120" s="808"/>
      <c r="G120" s="808"/>
      <c r="H120" s="808"/>
      <c r="I120" s="808"/>
      <c r="J120" s="808"/>
      <c r="K120" s="808"/>
      <c r="L120" s="808"/>
      <c r="M120" s="808"/>
      <c r="N120" s="808"/>
      <c r="O120" s="808"/>
      <c r="P120" s="808"/>
      <c r="Q120" s="808"/>
      <c r="R120" s="808"/>
      <c r="S120" s="808"/>
    </row>
    <row r="121" spans="2:21">
      <c r="B121" s="59"/>
      <c r="C121" s="138"/>
      <c r="D121" s="10"/>
      <c r="E121" s="25"/>
      <c r="F121" s="25"/>
      <c r="G121" s="25"/>
      <c r="H121" s="25"/>
      <c r="I121" s="140"/>
      <c r="J121" s="140"/>
      <c r="K121" s="127"/>
      <c r="L121" s="127"/>
      <c r="M121" s="127"/>
      <c r="P121" s="25"/>
    </row>
    <row r="122" spans="2:21" ht="15.75" thickBot="1">
      <c r="B122" s="52">
        <f>B116+1</f>
        <v>21</v>
      </c>
      <c r="C122" s="58" t="s">
        <v>19</v>
      </c>
      <c r="D122" s="10"/>
      <c r="E122" s="25"/>
      <c r="F122" s="25"/>
      <c r="G122" s="25"/>
      <c r="H122" s="25"/>
      <c r="I122" s="25"/>
      <c r="J122" s="25"/>
      <c r="K122" s="127"/>
      <c r="L122" s="127"/>
      <c r="M122" s="127"/>
      <c r="N122" s="139" t="e">
        <f>SOPL!#REF!</f>
        <v>#REF!</v>
      </c>
      <c r="O122" s="211" t="e">
        <f>SOPL!#REF!</f>
        <v>#REF!</v>
      </c>
      <c r="P122" s="9"/>
      <c r="Q122" s="150" t="e">
        <f>SOPL!#REF!</f>
        <v>#REF!</v>
      </c>
      <c r="R122" s="9"/>
      <c r="S122" s="150" t="e">
        <f>SOPL!#REF!</f>
        <v>#REF!</v>
      </c>
      <c r="T122" s="9"/>
      <c r="U122" s="25"/>
    </row>
    <row r="123" spans="2:21" ht="15.75" thickTop="1">
      <c r="B123" s="59"/>
      <c r="C123" s="58"/>
      <c r="D123" s="10"/>
      <c r="E123" s="25"/>
      <c r="F123" s="25"/>
      <c r="G123" s="25"/>
      <c r="H123" s="25"/>
      <c r="I123" s="25"/>
      <c r="J123" s="25"/>
      <c r="K123" s="127"/>
      <c r="L123" s="127"/>
      <c r="M123" s="127"/>
      <c r="N123" s="136"/>
      <c r="O123" s="41"/>
      <c r="P123" s="9"/>
      <c r="Q123" s="9"/>
      <c r="R123" s="9"/>
      <c r="S123" s="9"/>
      <c r="T123" s="9"/>
      <c r="U123" s="25"/>
    </row>
    <row r="124" spans="2:21">
      <c r="B124" s="59"/>
      <c r="C124" s="808" t="s">
        <v>188</v>
      </c>
      <c r="D124" s="808"/>
      <c r="E124" s="808"/>
      <c r="F124" s="808"/>
      <c r="G124" s="808"/>
      <c r="H124" s="808"/>
      <c r="I124" s="808"/>
      <c r="J124" s="808"/>
      <c r="K124" s="808"/>
      <c r="L124" s="808"/>
      <c r="M124" s="808"/>
      <c r="N124" s="808"/>
      <c r="O124" s="808"/>
      <c r="P124" s="808"/>
      <c r="Q124" s="808"/>
      <c r="R124" s="808"/>
      <c r="S124" s="808"/>
      <c r="T124" s="9"/>
      <c r="U124" s="25"/>
    </row>
    <row r="125" spans="2:21">
      <c r="B125" s="59"/>
      <c r="C125" s="808"/>
      <c r="D125" s="808"/>
      <c r="E125" s="808"/>
      <c r="F125" s="808"/>
      <c r="G125" s="808"/>
      <c r="H125" s="808"/>
      <c r="I125" s="808"/>
      <c r="J125" s="808"/>
      <c r="K125" s="808"/>
      <c r="L125" s="808"/>
      <c r="M125" s="808"/>
      <c r="N125" s="808"/>
      <c r="O125" s="808"/>
      <c r="P125" s="808"/>
      <c r="Q125" s="808"/>
      <c r="R125" s="808"/>
      <c r="S125" s="808"/>
      <c r="T125" s="9"/>
      <c r="U125" s="25"/>
    </row>
    <row r="126" spans="2:21">
      <c r="B126" s="59"/>
      <c r="C126" s="808"/>
      <c r="D126" s="808"/>
      <c r="E126" s="808"/>
      <c r="F126" s="808"/>
      <c r="G126" s="808"/>
      <c r="H126" s="808"/>
      <c r="I126" s="808"/>
      <c r="J126" s="808"/>
      <c r="K126" s="808"/>
      <c r="L126" s="808"/>
      <c r="M126" s="808"/>
      <c r="N126" s="808"/>
      <c r="O126" s="808"/>
      <c r="P126" s="808"/>
      <c r="Q126" s="808"/>
      <c r="R126" s="808"/>
      <c r="S126" s="808"/>
    </row>
    <row r="127" spans="2:21" ht="3" customHeight="1">
      <c r="B127" s="59"/>
      <c r="C127" s="151"/>
      <c r="D127" s="151"/>
      <c r="E127" s="151"/>
      <c r="F127" s="151"/>
      <c r="G127" s="151"/>
      <c r="H127" s="151"/>
      <c r="I127" s="151"/>
      <c r="J127" s="151"/>
      <c r="K127" s="151"/>
      <c r="L127" s="151"/>
      <c r="M127" s="151"/>
      <c r="N127" s="56"/>
      <c r="O127" s="212"/>
      <c r="P127" s="25"/>
    </row>
    <row r="128" spans="2:21" ht="9" customHeight="1">
      <c r="B128" s="59"/>
      <c r="C128" s="151"/>
      <c r="D128" s="151"/>
      <c r="E128" s="151"/>
      <c r="F128" s="151"/>
      <c r="G128" s="151"/>
      <c r="H128" s="151"/>
      <c r="I128" s="151"/>
      <c r="J128" s="151"/>
      <c r="K128" s="151"/>
      <c r="L128" s="151"/>
      <c r="M128" s="151"/>
      <c r="N128" s="56"/>
      <c r="O128" s="212"/>
      <c r="P128" s="25"/>
    </row>
    <row r="129" spans="2:248" ht="15" customHeight="1">
      <c r="B129" s="57">
        <f>B122+1</f>
        <v>22</v>
      </c>
      <c r="C129" s="17" t="s">
        <v>20</v>
      </c>
      <c r="D129" s="10"/>
      <c r="E129" s="130"/>
      <c r="F129" s="130"/>
      <c r="I129" s="130"/>
      <c r="J129" s="130"/>
      <c r="K129" s="22"/>
      <c r="L129" s="22"/>
      <c r="M129" s="22"/>
      <c r="N129" s="209" t="s">
        <v>40</v>
      </c>
      <c r="O129" s="209" t="s">
        <v>41</v>
      </c>
      <c r="Q129" s="209" t="s">
        <v>370</v>
      </c>
      <c r="S129" s="209" t="s">
        <v>369</v>
      </c>
    </row>
    <row r="130" spans="2:248" ht="5.25" customHeight="1">
      <c r="B130" s="57"/>
      <c r="C130" s="58"/>
      <c r="D130" s="10"/>
      <c r="E130" s="130"/>
      <c r="F130" s="130"/>
      <c r="I130" s="130"/>
      <c r="J130" s="130"/>
      <c r="K130" s="22"/>
      <c r="L130" s="22"/>
      <c r="M130" s="22"/>
      <c r="N130" s="3"/>
      <c r="O130" s="38"/>
      <c r="P130" s="5"/>
      <c r="Q130" s="130"/>
      <c r="R130" s="127"/>
    </row>
    <row r="131" spans="2:248" ht="15" customHeight="1">
      <c r="B131" s="57"/>
      <c r="C131" s="10" t="s">
        <v>189</v>
      </c>
      <c r="D131" s="10"/>
      <c r="E131" s="130"/>
      <c r="F131" s="130"/>
      <c r="I131" s="130"/>
      <c r="J131" s="130"/>
      <c r="K131" s="22"/>
      <c r="L131" s="22"/>
      <c r="M131" s="22"/>
      <c r="N131" s="19">
        <v>18517725</v>
      </c>
      <c r="O131" s="213">
        <v>15883605</v>
      </c>
      <c r="P131" s="5"/>
      <c r="Q131" s="125">
        <v>4479541</v>
      </c>
      <c r="R131" s="127"/>
      <c r="S131" s="167">
        <v>4899901</v>
      </c>
    </row>
    <row r="132" spans="2:248" ht="15" customHeight="1">
      <c r="B132" s="57"/>
      <c r="C132" s="10" t="s">
        <v>190</v>
      </c>
      <c r="D132" s="10"/>
      <c r="E132" s="124"/>
      <c r="F132" s="124"/>
      <c r="I132" s="130" t="s">
        <v>26</v>
      </c>
      <c r="J132" s="130"/>
      <c r="K132" s="22"/>
      <c r="L132" s="22"/>
      <c r="M132" s="22"/>
      <c r="N132" s="11">
        <v>5344762</v>
      </c>
      <c r="O132" s="214">
        <v>900000</v>
      </c>
      <c r="P132" s="5"/>
      <c r="Q132" s="215">
        <v>2004750</v>
      </c>
      <c r="R132" s="127"/>
      <c r="S132" s="168">
        <v>300000</v>
      </c>
    </row>
    <row r="133" spans="2:248" ht="15" customHeight="1">
      <c r="B133" s="57"/>
      <c r="C133" s="58" t="s">
        <v>191</v>
      </c>
      <c r="D133" s="10"/>
      <c r="I133" s="130"/>
      <c r="J133" s="130"/>
      <c r="K133" s="22"/>
      <c r="L133" s="22"/>
      <c r="M133" s="22"/>
      <c r="N133" s="11">
        <v>3634621</v>
      </c>
      <c r="O133" s="214">
        <v>2337774</v>
      </c>
      <c r="P133" s="5"/>
      <c r="Q133" s="215">
        <v>1220644</v>
      </c>
      <c r="R133" s="127"/>
      <c r="S133" s="168">
        <v>1223722</v>
      </c>
    </row>
    <row r="134" spans="2:248" ht="15" customHeight="1">
      <c r="B134" s="57"/>
      <c r="C134" s="58" t="s">
        <v>192</v>
      </c>
      <c r="D134" s="10"/>
      <c r="I134" s="130"/>
      <c r="J134" s="130"/>
      <c r="K134" s="22"/>
      <c r="L134" s="22"/>
      <c r="M134" s="22"/>
      <c r="N134" s="11">
        <v>1060328</v>
      </c>
      <c r="O134" s="54">
        <v>515260</v>
      </c>
      <c r="P134" s="5"/>
      <c r="Q134" s="215">
        <v>326094</v>
      </c>
      <c r="R134" s="127"/>
      <c r="S134" s="168">
        <v>240576</v>
      </c>
    </row>
    <row r="135" spans="2:248" ht="15" customHeight="1">
      <c r="B135" s="57"/>
      <c r="C135" s="58" t="s">
        <v>193</v>
      </c>
      <c r="D135" s="10"/>
      <c r="E135" s="124"/>
      <c r="F135" s="124"/>
      <c r="I135" s="130"/>
      <c r="J135" s="130"/>
      <c r="K135" s="22"/>
      <c r="L135" s="22"/>
      <c r="M135" s="22"/>
      <c r="N135" s="11">
        <v>455000</v>
      </c>
      <c r="O135" s="214">
        <v>241295</v>
      </c>
      <c r="P135" s="5"/>
      <c r="Q135" s="215">
        <v>304000</v>
      </c>
      <c r="R135" s="127"/>
      <c r="S135" s="168">
        <v>85500</v>
      </c>
    </row>
    <row r="136" spans="2:248" ht="15" customHeight="1">
      <c r="B136" s="57"/>
      <c r="C136" s="58" t="s">
        <v>381</v>
      </c>
      <c r="D136" s="10"/>
      <c r="E136" s="124"/>
      <c r="F136" s="124"/>
      <c r="I136" s="130"/>
      <c r="J136" s="130"/>
      <c r="K136" s="22"/>
      <c r="L136" s="22"/>
      <c r="M136" s="22"/>
      <c r="N136" s="11">
        <v>1131513</v>
      </c>
      <c r="O136" s="214">
        <v>0</v>
      </c>
      <c r="P136" s="5"/>
      <c r="Q136" s="215">
        <v>0</v>
      </c>
      <c r="R136" s="127"/>
      <c r="S136" s="30">
        <v>6547521</v>
      </c>
    </row>
    <row r="137" spans="2:248" ht="15" customHeight="1">
      <c r="B137" s="57"/>
      <c r="C137" s="17" t="s">
        <v>194</v>
      </c>
      <c r="D137" s="10"/>
      <c r="E137" s="124"/>
      <c r="F137" s="124"/>
      <c r="I137" s="130"/>
      <c r="J137" s="130"/>
      <c r="K137" s="22"/>
      <c r="L137" s="22"/>
      <c r="M137" s="22"/>
      <c r="N137" s="11">
        <v>751831</v>
      </c>
      <c r="O137" s="214">
        <v>194950</v>
      </c>
      <c r="P137" s="5"/>
      <c r="Q137" s="215">
        <v>398921</v>
      </c>
      <c r="R137" s="127"/>
      <c r="S137" s="168">
        <v>50901</v>
      </c>
    </row>
    <row r="138" spans="2:248" ht="15" customHeight="1">
      <c r="B138" s="17"/>
      <c r="C138" s="58" t="s">
        <v>195</v>
      </c>
      <c r="D138" s="17"/>
      <c r="E138" s="17"/>
      <c r="F138" s="17"/>
      <c r="G138" s="17"/>
      <c r="H138" s="17"/>
      <c r="I138" s="17"/>
      <c r="J138" s="17"/>
      <c r="K138" s="17"/>
      <c r="L138" s="17"/>
      <c r="M138" s="17"/>
      <c r="N138" s="216">
        <v>949240</v>
      </c>
      <c r="O138" s="45">
        <v>864199</v>
      </c>
      <c r="P138" s="17"/>
      <c r="Q138" s="216">
        <v>334831</v>
      </c>
      <c r="R138" s="217"/>
      <c r="S138" s="216">
        <v>282393</v>
      </c>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c r="FG138" s="17"/>
      <c r="FH138" s="17"/>
      <c r="FI138" s="17"/>
      <c r="FJ138" s="17"/>
      <c r="FK138" s="17"/>
      <c r="FL138" s="17"/>
      <c r="FM138" s="17"/>
      <c r="FN138" s="17"/>
      <c r="FO138" s="17"/>
      <c r="FP138" s="17"/>
      <c r="FQ138" s="17"/>
      <c r="FR138" s="17"/>
      <c r="FS138" s="17"/>
      <c r="FT138" s="17"/>
      <c r="FU138" s="17"/>
      <c r="FV138" s="17"/>
      <c r="FW138" s="17"/>
      <c r="FX138" s="17"/>
      <c r="FY138" s="17"/>
      <c r="FZ138" s="17"/>
      <c r="GA138" s="17"/>
      <c r="GB138" s="17"/>
      <c r="GC138" s="17"/>
      <c r="GD138" s="17"/>
      <c r="GE138" s="17"/>
      <c r="GF138" s="17"/>
      <c r="GG138" s="17"/>
      <c r="GH138" s="17"/>
      <c r="GI138" s="17"/>
      <c r="GJ138" s="17"/>
      <c r="GK138" s="17"/>
      <c r="GL138" s="17"/>
      <c r="GM138" s="17"/>
      <c r="GN138" s="17"/>
      <c r="GO138" s="17"/>
      <c r="GP138" s="17"/>
      <c r="GQ138" s="17"/>
      <c r="GR138" s="17"/>
      <c r="GS138" s="17"/>
      <c r="GT138" s="17"/>
      <c r="GU138" s="17"/>
      <c r="GV138" s="17"/>
      <c r="GW138" s="17"/>
      <c r="GX138" s="17"/>
      <c r="GY138" s="17"/>
      <c r="GZ138" s="17"/>
      <c r="HA138" s="17"/>
      <c r="HB138" s="17"/>
      <c r="HC138" s="17"/>
      <c r="HD138" s="17"/>
      <c r="HE138" s="17"/>
      <c r="HF138" s="17"/>
      <c r="HG138" s="17"/>
      <c r="HH138" s="17"/>
      <c r="HI138" s="17"/>
      <c r="HJ138" s="17"/>
      <c r="HK138" s="17"/>
      <c r="HL138" s="17"/>
      <c r="HM138" s="17"/>
      <c r="HN138" s="17"/>
      <c r="HO138" s="17"/>
      <c r="HP138" s="17"/>
      <c r="HQ138" s="17"/>
      <c r="HR138" s="17"/>
      <c r="HS138" s="17"/>
      <c r="HT138" s="17"/>
      <c r="HU138" s="17"/>
      <c r="HV138" s="17"/>
      <c r="HW138" s="17"/>
      <c r="HX138" s="17"/>
      <c r="HY138" s="17"/>
      <c r="HZ138" s="17"/>
      <c r="IA138" s="17"/>
      <c r="IB138" s="17"/>
      <c r="IC138" s="17"/>
      <c r="ID138" s="17"/>
      <c r="IE138" s="17"/>
      <c r="IF138" s="17"/>
      <c r="IG138" s="17"/>
      <c r="IH138" s="17"/>
      <c r="II138" s="17"/>
      <c r="IJ138" s="17"/>
      <c r="IK138" s="17"/>
      <c r="IL138" s="17"/>
      <c r="IM138" s="17"/>
      <c r="IN138" s="17"/>
    </row>
    <row r="139" spans="2:248" ht="15" customHeight="1">
      <c r="B139" s="57"/>
      <c r="C139" s="10" t="s">
        <v>197</v>
      </c>
      <c r="D139" s="10"/>
      <c r="E139" s="124"/>
      <c r="F139" s="124"/>
      <c r="I139" s="130"/>
      <c r="J139" s="130"/>
      <c r="K139" s="22"/>
      <c r="L139" s="22"/>
      <c r="M139" s="22"/>
      <c r="N139" s="11">
        <v>785862</v>
      </c>
      <c r="O139" s="214">
        <v>997043</v>
      </c>
      <c r="P139" s="5"/>
      <c r="Q139" s="215">
        <v>291414</v>
      </c>
      <c r="R139" s="127"/>
      <c r="S139" s="168">
        <v>446354</v>
      </c>
    </row>
    <row r="140" spans="2:248" ht="15" customHeight="1">
      <c r="B140" s="57"/>
      <c r="C140" s="10" t="s">
        <v>198</v>
      </c>
      <c r="D140" s="10"/>
      <c r="E140" s="124"/>
      <c r="F140" s="124"/>
      <c r="I140" s="130"/>
      <c r="J140" s="130"/>
      <c r="K140" s="22"/>
      <c r="L140" s="22"/>
      <c r="M140" s="22"/>
      <c r="N140" s="11">
        <v>393758</v>
      </c>
      <c r="O140" s="214">
        <v>458690</v>
      </c>
      <c r="P140" s="5"/>
      <c r="Q140" s="215">
        <v>187538</v>
      </c>
      <c r="R140" s="127"/>
      <c r="S140" s="168">
        <v>106459</v>
      </c>
    </row>
    <row r="141" spans="2:248" ht="15" customHeight="1">
      <c r="B141" s="57"/>
      <c r="C141" s="10" t="s">
        <v>199</v>
      </c>
      <c r="D141" s="10"/>
      <c r="E141" s="124"/>
      <c r="F141" s="124"/>
      <c r="I141" s="130"/>
      <c r="J141" s="130"/>
      <c r="K141" s="22"/>
      <c r="L141" s="22"/>
      <c r="M141" s="22"/>
      <c r="N141" s="11">
        <v>107146</v>
      </c>
      <c r="O141" s="214">
        <v>24099</v>
      </c>
      <c r="P141" s="5"/>
      <c r="Q141" s="215">
        <v>89847</v>
      </c>
      <c r="R141" s="127"/>
      <c r="S141" s="168">
        <v>9560</v>
      </c>
    </row>
    <row r="142" spans="2:248">
      <c r="B142" s="57"/>
      <c r="C142" s="10" t="s">
        <v>200</v>
      </c>
      <c r="D142" s="10"/>
      <c r="E142" s="124"/>
      <c r="F142" s="124"/>
      <c r="I142" s="130"/>
      <c r="J142" s="130"/>
      <c r="K142" s="22"/>
      <c r="L142" s="22"/>
      <c r="M142" s="22"/>
      <c r="N142" s="11">
        <v>503937</v>
      </c>
      <c r="O142" s="214">
        <v>324946</v>
      </c>
      <c r="P142" s="5"/>
      <c r="Q142" s="215">
        <v>196757</v>
      </c>
      <c r="R142" s="127"/>
      <c r="S142" s="168">
        <v>105034</v>
      </c>
    </row>
    <row r="143" spans="2:248">
      <c r="B143" s="57"/>
      <c r="C143" s="10" t="s">
        <v>307</v>
      </c>
      <c r="D143" s="10"/>
      <c r="E143" s="124"/>
      <c r="F143" s="124"/>
      <c r="I143" s="130"/>
      <c r="J143" s="130"/>
      <c r="K143" s="22"/>
      <c r="L143" s="22"/>
      <c r="M143" s="22"/>
      <c r="N143" s="11">
        <v>2922326</v>
      </c>
      <c r="O143" s="214">
        <v>190316</v>
      </c>
      <c r="P143" s="5"/>
      <c r="Q143" s="215">
        <v>15000</v>
      </c>
      <c r="R143" s="127"/>
      <c r="S143" s="168"/>
    </row>
    <row r="144" spans="2:248">
      <c r="B144" s="57"/>
      <c r="C144" s="10" t="s">
        <v>201</v>
      </c>
      <c r="D144" s="10"/>
      <c r="E144" s="124"/>
      <c r="F144" s="124"/>
      <c r="I144" s="130"/>
      <c r="J144" s="130"/>
      <c r="K144" s="22"/>
      <c r="L144" s="22"/>
      <c r="M144" s="22"/>
      <c r="N144" s="11">
        <v>271444</v>
      </c>
      <c r="O144" s="129">
        <v>89941</v>
      </c>
      <c r="P144" s="5"/>
      <c r="Q144" s="11">
        <v>134822</v>
      </c>
      <c r="R144" s="127"/>
      <c r="S144" s="168">
        <v>28886</v>
      </c>
    </row>
    <row r="145" spans="2:19">
      <c r="B145" s="57"/>
      <c r="C145" s="12" t="s">
        <v>202</v>
      </c>
      <c r="D145" s="10"/>
      <c r="E145" s="124"/>
      <c r="F145" s="124"/>
      <c r="I145" s="130"/>
      <c r="J145" s="130"/>
      <c r="K145" s="22"/>
      <c r="L145" s="22"/>
      <c r="M145" s="22"/>
      <c r="N145" s="132">
        <v>69662</v>
      </c>
      <c r="O145" s="218">
        <v>1071</v>
      </c>
      <c r="P145" s="5"/>
      <c r="Q145" s="219">
        <v>67539</v>
      </c>
      <c r="R145" s="127"/>
      <c r="S145" s="31"/>
    </row>
    <row r="146" spans="2:19" ht="15.75" thickBot="1">
      <c r="B146" s="59"/>
      <c r="C146" s="10"/>
      <c r="D146" s="10"/>
      <c r="E146" s="124"/>
      <c r="F146" s="124"/>
      <c r="I146" s="130"/>
      <c r="J146" s="130"/>
      <c r="K146" s="22"/>
      <c r="L146" s="22"/>
      <c r="M146" s="22"/>
      <c r="N146" s="35">
        <f>SUM(N131:N145)</f>
        <v>36899155</v>
      </c>
      <c r="O146" s="220">
        <f>SUM(O131:O145)</f>
        <v>23023189</v>
      </c>
      <c r="P146" s="5"/>
      <c r="Q146" s="220">
        <f>SUM(Q131:Q145)</f>
        <v>10051698</v>
      </c>
      <c r="R146" s="25"/>
      <c r="S146" s="220">
        <f>SUM(S131:S145)</f>
        <v>14326807</v>
      </c>
    </row>
    <row r="147" spans="2:19" ht="15.75" thickTop="1">
      <c r="B147" s="59"/>
      <c r="C147" s="10"/>
      <c r="D147" s="10"/>
      <c r="E147" s="124"/>
      <c r="F147" s="124"/>
      <c r="I147" s="130"/>
      <c r="J147" s="130"/>
      <c r="K147" s="22"/>
      <c r="L147" s="22"/>
      <c r="M147" s="22"/>
      <c r="N147" s="21"/>
      <c r="O147" s="221"/>
      <c r="P147" s="5"/>
      <c r="Q147" s="22"/>
      <c r="R147" s="25"/>
    </row>
    <row r="148" spans="2:19">
      <c r="B148" s="59"/>
      <c r="C148" s="10"/>
      <c r="D148" s="10"/>
      <c r="E148" s="124"/>
      <c r="F148" s="124"/>
      <c r="I148" s="130"/>
      <c r="J148" s="130"/>
      <c r="K148" s="22"/>
      <c r="L148" s="22"/>
      <c r="M148" s="22"/>
      <c r="N148" s="21"/>
      <c r="O148" s="221"/>
      <c r="P148" s="5"/>
      <c r="Q148" s="22"/>
      <c r="R148" s="25"/>
    </row>
    <row r="149" spans="2:19">
      <c r="B149" s="59"/>
      <c r="C149" s="10"/>
      <c r="D149" s="10"/>
      <c r="E149" s="124"/>
      <c r="F149" s="124"/>
      <c r="I149" s="130"/>
      <c r="J149" s="130"/>
      <c r="K149" s="22"/>
      <c r="L149" s="22"/>
      <c r="M149" s="22"/>
      <c r="N149" s="21"/>
      <c r="O149" s="221"/>
      <c r="P149" s="5"/>
      <c r="Q149" s="22"/>
      <c r="R149" s="25"/>
    </row>
    <row r="150" spans="2:19">
      <c r="B150" s="59"/>
      <c r="C150" s="10"/>
      <c r="D150" s="10"/>
      <c r="E150" s="124"/>
      <c r="F150" s="124"/>
      <c r="I150" s="130"/>
      <c r="J150" s="130"/>
      <c r="K150" s="22"/>
      <c r="L150" s="22"/>
      <c r="M150" s="22"/>
      <c r="N150" s="21"/>
      <c r="O150" s="221"/>
      <c r="P150" s="5"/>
      <c r="Q150" s="22"/>
      <c r="R150" s="25"/>
    </row>
    <row r="151" spans="2:19">
      <c r="B151" s="59"/>
      <c r="C151" s="10"/>
      <c r="D151" s="10"/>
      <c r="E151" s="124"/>
      <c r="F151" s="124"/>
      <c r="I151" s="130"/>
      <c r="J151" s="130"/>
      <c r="K151" s="22"/>
      <c r="L151" s="22"/>
      <c r="M151" s="22"/>
      <c r="N151" s="21"/>
      <c r="O151" s="221"/>
      <c r="P151" s="5"/>
      <c r="Q151" s="22"/>
      <c r="R151" s="25"/>
    </row>
    <row r="152" spans="2:19">
      <c r="B152" s="59"/>
      <c r="C152" s="10"/>
      <c r="D152" s="10"/>
      <c r="E152" s="124"/>
      <c r="F152" s="124"/>
      <c r="I152" s="130"/>
      <c r="J152" s="130"/>
      <c r="K152" s="22"/>
      <c r="L152" s="22"/>
      <c r="M152" s="22"/>
      <c r="N152" s="21"/>
      <c r="O152" s="221"/>
      <c r="P152" s="5"/>
      <c r="Q152" s="22"/>
      <c r="R152" s="25"/>
    </row>
    <row r="153" spans="2:19">
      <c r="B153" s="59"/>
      <c r="C153" s="10"/>
      <c r="D153" s="10"/>
      <c r="E153" s="124"/>
      <c r="F153" s="124"/>
      <c r="I153" s="130"/>
      <c r="J153" s="130"/>
      <c r="K153" s="22"/>
      <c r="L153" s="22"/>
      <c r="M153" s="22"/>
      <c r="N153" s="21"/>
      <c r="O153" s="221"/>
      <c r="P153" s="5"/>
      <c r="Q153" s="22"/>
      <c r="R153" s="25"/>
    </row>
    <row r="154" spans="2:19">
      <c r="B154" s="59"/>
      <c r="C154" s="10"/>
      <c r="D154" s="10"/>
      <c r="E154" s="124"/>
      <c r="F154" s="124"/>
      <c r="I154" s="130"/>
      <c r="J154" s="130"/>
      <c r="K154" s="22"/>
      <c r="L154" s="22"/>
      <c r="M154" s="22"/>
      <c r="N154" s="21"/>
      <c r="O154" s="221"/>
      <c r="P154" s="5"/>
      <c r="Q154" s="22"/>
      <c r="R154" s="25"/>
    </row>
    <row r="155" spans="2:19">
      <c r="B155" s="59"/>
      <c r="C155" s="10"/>
      <c r="D155" s="10"/>
      <c r="E155" s="124"/>
      <c r="F155" s="124"/>
      <c r="I155" s="130"/>
      <c r="J155" s="130"/>
      <c r="K155" s="22"/>
      <c r="L155" s="22"/>
      <c r="M155" s="22"/>
      <c r="N155" s="21"/>
      <c r="O155" s="221"/>
      <c r="P155" s="5"/>
      <c r="Q155" s="22"/>
      <c r="R155" s="25"/>
    </row>
    <row r="156" spans="2:19">
      <c r="B156" s="59"/>
      <c r="C156" s="10"/>
      <c r="D156" s="10"/>
      <c r="E156" s="124"/>
      <c r="F156" s="124"/>
      <c r="I156" s="130"/>
      <c r="J156" s="130"/>
      <c r="K156" s="22"/>
      <c r="L156" s="22"/>
      <c r="M156" s="22"/>
      <c r="N156" s="21"/>
      <c r="O156" s="221"/>
      <c r="P156" s="5"/>
      <c r="Q156" s="22"/>
      <c r="R156" s="25"/>
    </row>
    <row r="157" spans="2:19">
      <c r="B157" s="59"/>
      <c r="C157" s="10"/>
      <c r="D157" s="10"/>
      <c r="E157" s="124"/>
      <c r="F157" s="124"/>
      <c r="I157" s="130"/>
      <c r="J157" s="130"/>
      <c r="K157" s="22"/>
      <c r="L157" s="22"/>
      <c r="M157" s="22"/>
      <c r="N157" s="21"/>
      <c r="O157" s="221"/>
      <c r="P157" s="5"/>
      <c r="Q157" s="22"/>
      <c r="R157" s="25"/>
    </row>
    <row r="158" spans="2:19">
      <c r="B158" s="59"/>
      <c r="C158" s="10"/>
      <c r="D158" s="10"/>
      <c r="E158" s="124"/>
      <c r="F158" s="124"/>
      <c r="I158" s="130"/>
      <c r="J158" s="130"/>
      <c r="K158" s="22"/>
      <c r="L158" s="22"/>
      <c r="M158" s="22"/>
      <c r="N158" s="21"/>
      <c r="O158" s="221"/>
      <c r="P158" s="5"/>
      <c r="Q158" s="22"/>
      <c r="R158" s="25"/>
    </row>
    <row r="159" spans="2:19">
      <c r="B159" s="59"/>
      <c r="C159" s="10"/>
      <c r="D159" s="10"/>
      <c r="E159" s="124"/>
      <c r="F159" s="124"/>
      <c r="I159" s="130"/>
      <c r="J159" s="130"/>
      <c r="K159" s="22"/>
      <c r="L159" s="22"/>
      <c r="M159" s="22"/>
      <c r="N159" s="21"/>
      <c r="O159" s="221"/>
      <c r="P159" s="5"/>
      <c r="Q159" s="22"/>
      <c r="R159" s="25"/>
    </row>
    <row r="160" spans="2:19">
      <c r="B160" s="59"/>
      <c r="C160" s="10"/>
      <c r="D160" s="10"/>
      <c r="E160" s="124"/>
      <c r="F160" s="124"/>
      <c r="I160" s="130"/>
      <c r="J160" s="130"/>
      <c r="K160" s="22"/>
      <c r="L160" s="22"/>
      <c r="M160" s="22"/>
      <c r="N160" s="21"/>
      <c r="O160" s="221"/>
      <c r="P160" s="5"/>
      <c r="Q160" s="22"/>
      <c r="R160" s="25"/>
    </row>
    <row r="161" spans="2:19">
      <c r="B161" s="59"/>
      <c r="C161" s="10"/>
      <c r="D161" s="10"/>
      <c r="E161" s="124"/>
      <c r="F161" s="124"/>
      <c r="I161" s="130"/>
      <c r="J161" s="130"/>
      <c r="K161" s="22"/>
      <c r="L161" s="22"/>
      <c r="M161" s="22"/>
      <c r="N161" s="21"/>
      <c r="O161" s="221"/>
      <c r="P161" s="5"/>
      <c r="Q161" s="22"/>
      <c r="R161" s="25"/>
    </row>
    <row r="162" spans="2:19">
      <c r="B162" s="59"/>
      <c r="C162" s="10"/>
      <c r="D162" s="10"/>
      <c r="E162" s="22"/>
      <c r="F162" s="22"/>
      <c r="G162" s="22"/>
      <c r="H162" s="22"/>
      <c r="I162" s="130"/>
      <c r="J162" s="130"/>
      <c r="K162" s="22"/>
      <c r="L162" s="22"/>
      <c r="M162" s="22"/>
      <c r="N162" s="209" t="s">
        <v>40</v>
      </c>
      <c r="O162" s="209" t="s">
        <v>41</v>
      </c>
      <c r="Q162" s="209" t="s">
        <v>370</v>
      </c>
      <c r="S162" s="209" t="s">
        <v>369</v>
      </c>
    </row>
    <row r="163" spans="2:19">
      <c r="B163" s="57">
        <f>B129+1</f>
        <v>23</v>
      </c>
      <c r="C163" s="10" t="s">
        <v>203</v>
      </c>
      <c r="D163" s="10"/>
      <c r="E163" s="130"/>
      <c r="F163" s="130"/>
      <c r="G163" s="22"/>
      <c r="H163" s="22"/>
      <c r="I163" s="25"/>
      <c r="J163" s="25"/>
      <c r="K163" s="130"/>
      <c r="L163" s="130"/>
      <c r="M163" s="130"/>
      <c r="N163" s="3" t="s">
        <v>1</v>
      </c>
      <c r="O163" s="38" t="s">
        <v>1</v>
      </c>
      <c r="P163" s="5"/>
      <c r="Q163" s="38" t="s">
        <v>1</v>
      </c>
      <c r="S163" s="38" t="s">
        <v>1</v>
      </c>
    </row>
    <row r="164" spans="2:19">
      <c r="B164" s="57"/>
      <c r="C164" s="10"/>
      <c r="D164" s="10"/>
      <c r="E164" s="130"/>
      <c r="F164" s="130"/>
      <c r="G164" s="22"/>
      <c r="H164" s="22"/>
      <c r="I164" s="25"/>
      <c r="J164" s="25"/>
      <c r="K164" s="130"/>
      <c r="L164" s="130"/>
      <c r="M164" s="130"/>
      <c r="N164" s="3"/>
      <c r="O164" s="38"/>
      <c r="P164" s="5"/>
    </row>
    <row r="165" spans="2:19">
      <c r="B165" s="59"/>
      <c r="C165" s="10" t="s">
        <v>343</v>
      </c>
      <c r="D165" s="10"/>
      <c r="E165" s="25"/>
      <c r="F165" s="25"/>
      <c r="G165" s="25"/>
      <c r="H165" s="25"/>
      <c r="I165" s="25"/>
      <c r="J165" s="25"/>
      <c r="K165" s="25"/>
      <c r="L165" s="25"/>
      <c r="M165" s="25"/>
      <c r="N165" s="19">
        <v>224958</v>
      </c>
      <c r="O165" s="48">
        <v>188000</v>
      </c>
      <c r="P165" s="22"/>
      <c r="Q165" s="167">
        <v>51247</v>
      </c>
      <c r="S165" s="167">
        <v>67324</v>
      </c>
    </row>
    <row r="166" spans="2:19">
      <c r="B166" s="59"/>
      <c r="C166" s="10" t="s">
        <v>205</v>
      </c>
      <c r="D166" s="10"/>
      <c r="E166" s="25"/>
      <c r="F166" s="25"/>
      <c r="G166" s="25"/>
      <c r="H166" s="25"/>
      <c r="K166" s="25"/>
      <c r="L166" s="25"/>
      <c r="M166" s="25"/>
      <c r="N166" s="11">
        <v>140230891</v>
      </c>
      <c r="O166" s="43">
        <v>10819374</v>
      </c>
      <c r="P166" s="22"/>
      <c r="Q166" s="168">
        <v>50146981</v>
      </c>
      <c r="S166" s="168">
        <v>650000</v>
      </c>
    </row>
    <row r="167" spans="2:19">
      <c r="B167" s="59"/>
      <c r="C167" s="10" t="s">
        <v>344</v>
      </c>
      <c r="D167" s="10"/>
      <c r="E167" s="25"/>
      <c r="F167" s="25"/>
      <c r="G167" s="25"/>
      <c r="H167" s="25"/>
      <c r="I167" s="25"/>
      <c r="J167" s="25"/>
      <c r="K167" s="25"/>
      <c r="L167" s="25"/>
      <c r="M167" s="25"/>
      <c r="N167" s="11">
        <v>0</v>
      </c>
      <c r="O167" s="43">
        <v>0</v>
      </c>
      <c r="P167" s="22"/>
      <c r="Q167" s="30">
        <f>1220977-51247+100000</f>
        <v>1269730</v>
      </c>
      <c r="R167" s="25"/>
      <c r="S167" s="245">
        <v>0</v>
      </c>
    </row>
    <row r="168" spans="2:19">
      <c r="B168" s="59"/>
      <c r="C168" s="10" t="s">
        <v>345</v>
      </c>
      <c r="D168" s="10"/>
      <c r="E168" s="25"/>
      <c r="F168" s="25"/>
      <c r="G168" s="25"/>
      <c r="H168" s="25"/>
      <c r="K168" s="25"/>
      <c r="L168" s="25"/>
      <c r="M168" s="25"/>
      <c r="N168" s="132">
        <v>359646</v>
      </c>
      <c r="O168" s="44">
        <v>36750</v>
      </c>
      <c r="P168" s="22"/>
      <c r="Q168" s="222"/>
      <c r="S168" s="31"/>
    </row>
    <row r="169" spans="2:19" ht="15.75" thickBot="1">
      <c r="B169" s="59"/>
      <c r="C169" s="10"/>
      <c r="D169" s="10"/>
      <c r="E169" s="25"/>
      <c r="F169" s="25"/>
      <c r="G169" s="25"/>
      <c r="H169" s="25"/>
      <c r="I169" s="25"/>
      <c r="J169" s="25"/>
      <c r="K169" s="25"/>
      <c r="L169" s="25"/>
      <c r="M169" s="25"/>
      <c r="N169" s="150">
        <f>SUM(N165:N168)</f>
        <v>140815495</v>
      </c>
      <c r="O169" s="211">
        <f>SUM(O165:O168)</f>
        <v>11044124</v>
      </c>
      <c r="P169" s="22"/>
      <c r="Q169" s="211">
        <f>SUM(Q165:Q168)</f>
        <v>51467958</v>
      </c>
      <c r="S169" s="26">
        <f>SUM(S165:S168)</f>
        <v>717324</v>
      </c>
    </row>
    <row r="170" spans="2:19" ht="15.75" thickTop="1">
      <c r="B170" s="59"/>
      <c r="C170" s="10"/>
      <c r="D170" s="10"/>
      <c r="E170" s="25"/>
      <c r="F170" s="25"/>
      <c r="G170" s="25"/>
      <c r="H170" s="25"/>
      <c r="I170" s="25"/>
      <c r="J170" s="25"/>
      <c r="K170" s="25"/>
      <c r="L170" s="25"/>
      <c r="M170" s="25"/>
      <c r="N170" s="9"/>
      <c r="O170" s="41"/>
      <c r="P170" s="22"/>
    </row>
    <row r="171" spans="2:19">
      <c r="B171" s="153"/>
      <c r="C171" s="61"/>
      <c r="D171" s="61"/>
      <c r="E171" s="61"/>
      <c r="F171" s="61"/>
      <c r="G171" s="61"/>
      <c r="H171" s="61"/>
      <c r="I171" s="61"/>
      <c r="J171" s="61"/>
      <c r="K171" s="61"/>
      <c r="L171" s="61"/>
      <c r="M171" s="61"/>
      <c r="N171" s="74"/>
      <c r="O171" s="223"/>
      <c r="P171" s="61"/>
    </row>
    <row r="172" spans="2:19" ht="15.75" thickBot="1">
      <c r="B172" s="153" t="e">
        <f>#REF!+0.1</f>
        <v>#REF!</v>
      </c>
      <c r="C172" s="2" t="s">
        <v>212</v>
      </c>
      <c r="D172" s="61"/>
      <c r="E172" s="61"/>
      <c r="F172" s="61"/>
      <c r="G172" s="61"/>
      <c r="H172" s="61"/>
      <c r="I172" s="61"/>
      <c r="J172" s="61"/>
      <c r="K172" s="61"/>
      <c r="L172" s="61"/>
      <c r="M172" s="61"/>
      <c r="N172" s="244">
        <v>0</v>
      </c>
      <c r="O172" s="224">
        <v>0</v>
      </c>
      <c r="P172" s="61"/>
    </row>
    <row r="173" spans="2:19" ht="15.75" thickTop="1">
      <c r="B173" s="153"/>
      <c r="D173" s="61"/>
      <c r="E173" s="61"/>
      <c r="F173" s="61"/>
      <c r="G173" s="61"/>
      <c r="H173" s="61"/>
      <c r="I173" s="61"/>
      <c r="J173" s="61"/>
      <c r="K173" s="61"/>
      <c r="L173" s="61"/>
      <c r="M173" s="61"/>
      <c r="N173" s="74"/>
      <c r="O173" s="223"/>
      <c r="P173" s="61"/>
    </row>
    <row r="174" spans="2:19">
      <c r="B174" s="153"/>
      <c r="C174" s="808" t="s">
        <v>359</v>
      </c>
      <c r="D174" s="808"/>
      <c r="E174" s="808"/>
      <c r="F174" s="808"/>
      <c r="G174" s="808"/>
      <c r="H174" s="808"/>
      <c r="I174" s="808"/>
      <c r="J174" s="808"/>
      <c r="K174" s="808"/>
      <c r="L174" s="808"/>
      <c r="M174" s="808"/>
      <c r="N174" s="808"/>
      <c r="O174" s="808"/>
      <c r="P174" s="61"/>
    </row>
    <row r="175" spans="2:19">
      <c r="C175" s="808"/>
      <c r="D175" s="808"/>
      <c r="E175" s="808"/>
      <c r="F175" s="808"/>
      <c r="G175" s="808"/>
      <c r="H175" s="808"/>
      <c r="I175" s="808"/>
      <c r="J175" s="808"/>
      <c r="K175" s="808"/>
      <c r="L175" s="808"/>
      <c r="M175" s="808"/>
      <c r="N175" s="808"/>
      <c r="O175" s="808"/>
    </row>
    <row r="176" spans="2:19">
      <c r="C176" s="61"/>
      <c r="D176" s="61"/>
      <c r="E176" s="61"/>
      <c r="F176" s="61"/>
      <c r="G176" s="61"/>
      <c r="H176" s="61"/>
      <c r="I176" s="61"/>
      <c r="J176" s="61"/>
      <c r="K176" s="61"/>
      <c r="L176" s="61"/>
      <c r="M176" s="61"/>
      <c r="N176" s="74"/>
      <c r="O176" s="223"/>
    </row>
    <row r="177" spans="3:19">
      <c r="C177" s="808" t="s">
        <v>360</v>
      </c>
      <c r="D177" s="808"/>
      <c r="E177" s="808"/>
      <c r="F177" s="808"/>
      <c r="G177" s="808"/>
      <c r="H177" s="808"/>
      <c r="I177" s="808"/>
      <c r="J177" s="808"/>
      <c r="K177" s="808"/>
      <c r="L177" s="808"/>
      <c r="M177" s="808"/>
      <c r="N177" s="808"/>
      <c r="O177" s="808"/>
      <c r="P177" s="808"/>
      <c r="Q177" s="808"/>
      <c r="R177" s="808"/>
      <c r="S177" s="808"/>
    </row>
    <row r="178" spans="3:19">
      <c r="C178" s="808" t="s">
        <v>361</v>
      </c>
      <c r="D178" s="808"/>
      <c r="E178" s="808"/>
      <c r="F178" s="808"/>
      <c r="G178" s="808"/>
      <c r="H178" s="808"/>
      <c r="I178" s="808"/>
      <c r="J178" s="808"/>
      <c r="K178" s="808"/>
      <c r="L178" s="808"/>
      <c r="M178" s="808"/>
      <c r="N178" s="808"/>
      <c r="O178" s="808"/>
      <c r="P178" s="808"/>
      <c r="Q178" s="808"/>
      <c r="R178" s="808"/>
      <c r="S178" s="808"/>
    </row>
    <row r="179" spans="3:19">
      <c r="C179" s="61"/>
      <c r="D179" s="61"/>
      <c r="E179" s="61"/>
      <c r="F179" s="61"/>
      <c r="G179" s="61"/>
      <c r="H179" s="61"/>
      <c r="I179" s="61"/>
      <c r="J179" s="61"/>
      <c r="K179" s="61"/>
      <c r="L179" s="61"/>
      <c r="M179" s="61"/>
      <c r="N179" s="74"/>
      <c r="O179" s="223"/>
    </row>
    <row r="180" spans="3:19">
      <c r="C180" s="61"/>
      <c r="D180" s="61"/>
      <c r="E180" s="61"/>
      <c r="F180" s="61"/>
      <c r="G180" s="61"/>
      <c r="H180" s="61"/>
      <c r="I180" s="61"/>
      <c r="J180" s="61"/>
      <c r="K180" s="61"/>
      <c r="L180" s="61"/>
      <c r="M180" s="61"/>
      <c r="N180" s="74"/>
      <c r="O180" s="223"/>
    </row>
    <row r="181" spans="3:19">
      <c r="C181" s="61"/>
      <c r="D181" s="61"/>
      <c r="E181" s="61"/>
      <c r="F181" s="61"/>
      <c r="G181" s="61"/>
      <c r="H181" s="61"/>
      <c r="I181" s="61"/>
      <c r="J181" s="61"/>
      <c r="K181" s="61"/>
      <c r="L181" s="61"/>
      <c r="M181" s="61"/>
      <c r="N181" s="74"/>
      <c r="O181" s="223"/>
    </row>
    <row r="182" spans="3:19">
      <c r="C182" s="61"/>
      <c r="D182" s="61"/>
      <c r="E182" s="61"/>
      <c r="F182" s="61"/>
      <c r="G182" s="61"/>
      <c r="H182" s="61"/>
      <c r="I182" s="61"/>
      <c r="J182" s="61"/>
      <c r="K182" s="61"/>
      <c r="L182" s="61"/>
      <c r="M182" s="61"/>
      <c r="N182" s="74"/>
      <c r="O182" s="223"/>
    </row>
    <row r="183" spans="3:19">
      <c r="C183" s="61"/>
      <c r="D183" s="61"/>
      <c r="E183" s="61"/>
      <c r="F183" s="61"/>
      <c r="G183" s="61"/>
      <c r="H183" s="61"/>
      <c r="I183" s="61"/>
      <c r="J183" s="61"/>
      <c r="K183" s="61"/>
      <c r="L183" s="61"/>
      <c r="M183" s="61"/>
      <c r="N183" s="74"/>
      <c r="O183" s="223"/>
    </row>
    <row r="184" spans="3:19">
      <c r="C184" s="61"/>
      <c r="D184" s="61"/>
      <c r="E184" s="61"/>
      <c r="F184" s="61"/>
      <c r="G184" s="61"/>
      <c r="H184" s="61"/>
      <c r="I184" s="61"/>
      <c r="J184" s="61"/>
      <c r="K184" s="61"/>
      <c r="L184" s="61"/>
      <c r="M184" s="61"/>
      <c r="N184" s="74"/>
      <c r="O184" s="223"/>
    </row>
    <row r="185" spans="3:19">
      <c r="C185" s="61"/>
      <c r="D185" s="61"/>
      <c r="E185" s="61"/>
      <c r="F185" s="61"/>
      <c r="G185" s="61"/>
      <c r="H185" s="61"/>
      <c r="I185" s="61"/>
      <c r="J185" s="61"/>
      <c r="K185" s="61"/>
      <c r="L185" s="61"/>
      <c r="M185" s="61"/>
      <c r="N185" s="74"/>
      <c r="O185" s="223"/>
    </row>
    <row r="186" spans="3:19">
      <c r="C186" s="61"/>
      <c r="D186" s="61"/>
      <c r="E186" s="61"/>
      <c r="F186" s="61"/>
      <c r="G186" s="61"/>
      <c r="H186" s="61"/>
      <c r="I186" s="61"/>
      <c r="J186" s="61"/>
      <c r="K186" s="61"/>
      <c r="L186" s="61"/>
      <c r="M186" s="61"/>
      <c r="N186" s="74"/>
      <c r="O186" s="223"/>
    </row>
    <row r="187" spans="3:19">
      <c r="C187" s="61"/>
      <c r="D187" s="61"/>
      <c r="E187" s="61"/>
      <c r="F187" s="61"/>
      <c r="G187" s="61"/>
      <c r="H187" s="61"/>
      <c r="I187" s="61"/>
      <c r="J187" s="61"/>
      <c r="K187" s="61"/>
      <c r="L187" s="61"/>
      <c r="M187" s="61"/>
      <c r="N187" s="74"/>
      <c r="O187" s="223"/>
    </row>
    <row r="188" spans="3:19">
      <c r="C188" s="61"/>
      <c r="D188" s="61"/>
      <c r="E188" s="61"/>
      <c r="F188" s="61"/>
      <c r="G188" s="61"/>
      <c r="H188" s="61"/>
      <c r="I188" s="61"/>
      <c r="J188" s="61"/>
      <c r="K188" s="61"/>
      <c r="L188" s="61"/>
      <c r="M188" s="61"/>
      <c r="N188" s="74"/>
      <c r="O188" s="223"/>
    </row>
    <row r="189" spans="3:19">
      <c r="C189" s="61"/>
      <c r="D189" s="61"/>
      <c r="E189" s="61"/>
      <c r="F189" s="61"/>
      <c r="G189" s="61"/>
      <c r="H189" s="61"/>
      <c r="I189" s="61"/>
      <c r="J189" s="61"/>
      <c r="K189" s="61"/>
      <c r="L189" s="61"/>
      <c r="M189" s="61"/>
      <c r="N189" s="74"/>
      <c r="O189" s="223"/>
    </row>
    <row r="190" spans="3:19">
      <c r="C190" s="61"/>
      <c r="D190" s="61"/>
      <c r="E190" s="61"/>
      <c r="F190" s="61"/>
      <c r="G190" s="61"/>
      <c r="H190" s="61"/>
      <c r="I190" s="61"/>
      <c r="J190" s="61"/>
      <c r="K190" s="61"/>
      <c r="L190" s="61"/>
      <c r="M190" s="61"/>
      <c r="N190" s="74"/>
      <c r="O190" s="223"/>
    </row>
    <row r="191" spans="3:19">
      <c r="C191" s="61"/>
      <c r="D191" s="61"/>
      <c r="E191" s="61"/>
      <c r="F191" s="61"/>
      <c r="G191" s="61"/>
      <c r="H191" s="61"/>
      <c r="I191" s="61"/>
      <c r="J191" s="61"/>
      <c r="K191" s="61"/>
      <c r="L191" s="61"/>
      <c r="M191" s="61"/>
      <c r="N191" s="74"/>
      <c r="O191" s="223"/>
    </row>
    <row r="192" spans="3:19">
      <c r="C192" s="61"/>
      <c r="D192" s="61"/>
      <c r="E192" s="61"/>
      <c r="F192" s="808" t="s">
        <v>40</v>
      </c>
      <c r="G192" s="808"/>
      <c r="H192" s="808"/>
      <c r="I192" s="808"/>
      <c r="J192" s="808"/>
      <c r="K192" s="808"/>
      <c r="L192" s="179"/>
      <c r="M192" s="179"/>
      <c r="N192" s="808" t="s">
        <v>41</v>
      </c>
      <c r="O192" s="808"/>
    </row>
    <row r="193" spans="2:18">
      <c r="B193" s="52" t="e">
        <f>#REF!+1</f>
        <v>#REF!</v>
      </c>
      <c r="C193" s="2" t="s">
        <v>362</v>
      </c>
      <c r="D193" s="61"/>
      <c r="E193" s="61"/>
      <c r="G193" s="83" t="s">
        <v>216</v>
      </c>
      <c r="H193" s="61"/>
      <c r="I193" s="808" t="s">
        <v>217</v>
      </c>
      <c r="J193" s="808"/>
      <c r="K193" s="808"/>
      <c r="L193" s="52"/>
      <c r="M193" s="52"/>
      <c r="N193" s="225" t="s">
        <v>216</v>
      </c>
      <c r="O193" s="226" t="s">
        <v>217</v>
      </c>
    </row>
    <row r="194" spans="2:18">
      <c r="D194" s="61"/>
      <c r="E194" s="61"/>
      <c r="F194" s="61"/>
      <c r="G194" s="61"/>
      <c r="H194" s="61"/>
      <c r="I194" s="808" t="s">
        <v>218</v>
      </c>
      <c r="J194" s="808"/>
      <c r="K194" s="808"/>
      <c r="L194" s="83"/>
      <c r="M194" s="83"/>
      <c r="N194" s="74"/>
      <c r="O194" s="227" t="s">
        <v>218</v>
      </c>
    </row>
    <row r="195" spans="2:18">
      <c r="C195" s="808" t="s">
        <v>219</v>
      </c>
      <c r="D195" s="808"/>
      <c r="E195" s="808"/>
      <c r="G195" s="159">
        <v>200</v>
      </c>
      <c r="H195" s="61"/>
      <c r="J195" s="159"/>
      <c r="K195" s="61"/>
      <c r="L195" s="61"/>
      <c r="M195" s="61"/>
      <c r="N195" s="228">
        <v>44.6</v>
      </c>
      <c r="O195" s="223"/>
    </row>
    <row r="196" spans="2:18">
      <c r="C196" s="2" t="s">
        <v>220</v>
      </c>
      <c r="E196" s="61"/>
      <c r="G196" s="160">
        <f>(166*0.155)+0.27</f>
        <v>26</v>
      </c>
      <c r="H196" s="61"/>
      <c r="I196" s="808">
        <f>G196/G195</f>
        <v>0.13</v>
      </c>
      <c r="J196" s="808"/>
      <c r="K196" s="808"/>
      <c r="L196" s="229"/>
      <c r="M196" s="229"/>
      <c r="N196" s="230">
        <v>21.86</v>
      </c>
      <c r="O196" s="231">
        <f>N196/N195</f>
        <v>0.49013452914798206</v>
      </c>
    </row>
    <row r="197" spans="2:18">
      <c r="C197" s="61"/>
      <c r="E197" s="61"/>
      <c r="F197" s="61"/>
      <c r="G197" s="61"/>
      <c r="H197" s="61"/>
      <c r="I197" s="61"/>
      <c r="J197" s="232"/>
      <c r="K197" s="61"/>
      <c r="L197" s="61"/>
      <c r="M197" s="232"/>
      <c r="N197" s="74"/>
      <c r="O197" s="223"/>
    </row>
    <row r="198" spans="2:18">
      <c r="C198" s="61"/>
      <c r="E198" s="61"/>
      <c r="F198" s="61"/>
      <c r="G198" s="56">
        <v>2012</v>
      </c>
      <c r="H198" s="52"/>
      <c r="J198" s="61"/>
      <c r="K198" s="61"/>
      <c r="L198" s="61"/>
      <c r="M198" s="61"/>
      <c r="N198" s="212">
        <v>2011</v>
      </c>
    </row>
    <row r="199" spans="2:18" s="1" customFormat="1">
      <c r="B199" s="53" t="e">
        <f>B193+1</f>
        <v>#REF!</v>
      </c>
      <c r="C199" s="4" t="s">
        <v>221</v>
      </c>
      <c r="D199" s="4"/>
      <c r="E199" s="4"/>
      <c r="F199" s="4"/>
      <c r="G199" s="3" t="s">
        <v>222</v>
      </c>
      <c r="H199" s="5"/>
      <c r="J199" s="4"/>
      <c r="K199" s="4"/>
      <c r="L199" s="4"/>
      <c r="M199" s="4"/>
      <c r="N199" s="38" t="s">
        <v>222</v>
      </c>
      <c r="R199" s="14"/>
    </row>
    <row r="200" spans="2:18">
      <c r="C200" s="61"/>
      <c r="E200" s="61"/>
      <c r="F200" s="61"/>
      <c r="G200" s="74"/>
      <c r="H200" s="61"/>
      <c r="J200" s="61"/>
      <c r="K200" s="61"/>
      <c r="L200" s="61"/>
      <c r="M200" s="61"/>
      <c r="N200" s="223"/>
    </row>
    <row r="201" spans="2:18">
      <c r="C201" s="4" t="s">
        <v>223</v>
      </c>
      <c r="D201" s="4"/>
      <c r="E201" s="4"/>
      <c r="F201" s="4"/>
      <c r="G201" s="74"/>
      <c r="H201" s="61"/>
      <c r="J201" s="61"/>
      <c r="K201" s="61"/>
      <c r="L201" s="61"/>
      <c r="M201" s="61"/>
      <c r="N201" s="223"/>
    </row>
    <row r="202" spans="2:18">
      <c r="C202" s="61"/>
      <c r="E202" s="61"/>
      <c r="F202" s="61"/>
      <c r="G202" s="74"/>
      <c r="H202" s="61"/>
      <c r="J202" s="61"/>
      <c r="K202" s="61"/>
      <c r="L202" s="61"/>
      <c r="M202" s="61"/>
      <c r="N202" s="223"/>
    </row>
    <row r="203" spans="2:18">
      <c r="C203" s="2" t="s">
        <v>225</v>
      </c>
      <c r="E203" s="61"/>
      <c r="F203" s="61"/>
      <c r="G203" s="183"/>
      <c r="H203" s="61"/>
      <c r="J203" s="61"/>
      <c r="K203" s="61"/>
      <c r="L203" s="61"/>
      <c r="M203" s="61"/>
      <c r="N203" s="233"/>
    </row>
    <row r="204" spans="2:18">
      <c r="C204" s="4" t="s">
        <v>19</v>
      </c>
      <c r="E204" s="61"/>
      <c r="F204" s="61"/>
      <c r="G204" s="183">
        <f>4500+195960+311553+254811</f>
        <v>766824</v>
      </c>
      <c r="H204" s="61"/>
      <c r="J204" s="61"/>
      <c r="K204" s="61"/>
      <c r="L204" s="61"/>
      <c r="M204" s="61"/>
      <c r="N204" s="233">
        <v>872031</v>
      </c>
    </row>
    <row r="205" spans="2:18">
      <c r="C205" s="2" t="s">
        <v>224</v>
      </c>
      <c r="E205" s="61"/>
      <c r="F205" s="61"/>
      <c r="G205" s="183"/>
      <c r="H205" s="61"/>
      <c r="J205" s="61"/>
      <c r="K205" s="61"/>
      <c r="L205" s="61"/>
      <c r="M205" s="61"/>
      <c r="N205" s="233"/>
    </row>
    <row r="206" spans="2:18">
      <c r="C206" s="2" t="s">
        <v>226</v>
      </c>
      <c r="E206" s="61"/>
      <c r="F206" s="61"/>
      <c r="G206" s="234">
        <v>0</v>
      </c>
      <c r="H206" s="61"/>
      <c r="J206" s="61"/>
      <c r="K206" s="61"/>
      <c r="L206" s="61"/>
      <c r="M206" s="61"/>
      <c r="N206" s="235"/>
    </row>
    <row r="207" spans="2:18" ht="15.75" thickBot="1">
      <c r="C207" s="61"/>
      <c r="E207" s="61"/>
      <c r="F207" s="61"/>
      <c r="G207" s="236">
        <f>SUM(G203:G206)</f>
        <v>766824</v>
      </c>
      <c r="H207" s="154"/>
      <c r="J207" s="61"/>
      <c r="K207" s="61"/>
      <c r="L207" s="61"/>
      <c r="M207" s="61"/>
      <c r="N207" s="237">
        <f>SUM(N203:N206)</f>
        <v>872031</v>
      </c>
    </row>
    <row r="208" spans="2:18" ht="15.75" thickTop="1">
      <c r="C208" s="61"/>
      <c r="E208" s="61"/>
      <c r="F208" s="61"/>
      <c r="G208" s="61"/>
      <c r="H208" s="61"/>
      <c r="I208" s="61"/>
      <c r="J208" s="61"/>
      <c r="K208" s="61"/>
      <c r="L208" s="61"/>
      <c r="M208" s="61"/>
      <c r="N208" s="238"/>
      <c r="O208" s="239"/>
    </row>
    <row r="209" spans="2:16">
      <c r="B209" s="52" t="e">
        <f>B199+1</f>
        <v>#REF!</v>
      </c>
      <c r="C209" s="4" t="s">
        <v>227</v>
      </c>
    </row>
    <row r="211" spans="2:16">
      <c r="C211" s="808" t="s">
        <v>372</v>
      </c>
      <c r="D211" s="808"/>
      <c r="E211" s="808"/>
      <c r="F211" s="808"/>
      <c r="G211" s="808"/>
      <c r="H211" s="808"/>
      <c r="I211" s="808"/>
      <c r="J211" s="808"/>
      <c r="K211" s="808"/>
      <c r="L211" s="808"/>
      <c r="M211" s="808"/>
      <c r="N211" s="808"/>
      <c r="O211" s="808"/>
      <c r="P211" s="183"/>
    </row>
    <row r="212" spans="2:16">
      <c r="C212" s="808"/>
      <c r="D212" s="808"/>
      <c r="E212" s="808"/>
      <c r="F212" s="808"/>
      <c r="G212" s="808"/>
      <c r="H212" s="808"/>
      <c r="I212" s="808"/>
      <c r="J212" s="808"/>
      <c r="K212" s="808"/>
      <c r="L212" s="808"/>
      <c r="M212" s="808"/>
      <c r="N212" s="808"/>
      <c r="O212" s="808"/>
      <c r="P212" s="183"/>
    </row>
    <row r="213" spans="2:16">
      <c r="C213" s="240"/>
      <c r="D213" s="240"/>
      <c r="E213" s="240"/>
      <c r="F213" s="240"/>
      <c r="G213" s="240"/>
      <c r="H213" s="240"/>
      <c r="I213" s="240"/>
      <c r="J213" s="240"/>
      <c r="K213" s="240"/>
      <c r="L213" s="240"/>
      <c r="M213" s="240"/>
      <c r="N213" s="240"/>
      <c r="O213" s="241"/>
      <c r="P213" s="183"/>
    </row>
    <row r="214" spans="2:16">
      <c r="C214" s="240"/>
      <c r="D214" s="240"/>
      <c r="E214" s="240"/>
      <c r="F214" s="240"/>
      <c r="G214" s="240"/>
      <c r="H214" s="240"/>
      <c r="I214" s="240"/>
      <c r="J214" s="240"/>
      <c r="K214" s="240"/>
      <c r="L214" s="240"/>
      <c r="M214" s="240"/>
      <c r="N214" s="240"/>
      <c r="O214" s="241"/>
      <c r="P214" s="183"/>
    </row>
    <row r="215" spans="2:16">
      <c r="C215" s="61"/>
      <c r="D215" s="61"/>
      <c r="E215" s="61"/>
      <c r="F215" s="61"/>
      <c r="G215" s="61"/>
      <c r="H215" s="61"/>
      <c r="I215" s="61"/>
      <c r="J215" s="61"/>
      <c r="K215" s="61"/>
      <c r="L215" s="61"/>
      <c r="M215" s="61"/>
      <c r="N215" s="209" t="s">
        <v>40</v>
      </c>
      <c r="O215" s="209" t="s">
        <v>41</v>
      </c>
      <c r="P215" s="61"/>
    </row>
    <row r="216" spans="2:16">
      <c r="B216" s="52" t="e">
        <f>B209+1</f>
        <v>#REF!</v>
      </c>
      <c r="C216" s="2" t="s">
        <v>229</v>
      </c>
      <c r="D216" s="61"/>
      <c r="E216" s="61"/>
      <c r="F216" s="61"/>
      <c r="G216" s="61"/>
      <c r="H216" s="61"/>
      <c r="I216" s="61"/>
      <c r="J216" s="61"/>
      <c r="K216" s="61"/>
      <c r="L216" s="61"/>
      <c r="M216" s="61"/>
      <c r="N216" s="3" t="s">
        <v>1</v>
      </c>
      <c r="O216" s="38" t="s">
        <v>1</v>
      </c>
      <c r="P216" s="61"/>
    </row>
    <row r="217" spans="2:16">
      <c r="D217" s="61"/>
      <c r="E217" s="61"/>
      <c r="F217" s="61"/>
      <c r="G217" s="61"/>
      <c r="H217" s="61"/>
      <c r="I217" s="61"/>
      <c r="J217" s="61"/>
      <c r="K217" s="61"/>
      <c r="L217" s="61"/>
      <c r="M217" s="61"/>
      <c r="N217" s="74"/>
      <c r="O217" s="223"/>
      <c r="P217" s="61"/>
    </row>
    <row r="218" spans="2:16" ht="15.75" thickBot="1">
      <c r="C218" s="2" t="s">
        <v>230</v>
      </c>
      <c r="D218" s="61"/>
      <c r="E218" s="61"/>
      <c r="F218" s="61"/>
      <c r="G218" s="61"/>
      <c r="H218" s="61"/>
      <c r="I218" s="61"/>
      <c r="J218" s="61"/>
      <c r="K218" s="61"/>
      <c r="L218" s="61"/>
      <c r="M218" s="61"/>
      <c r="N218" s="102" t="s">
        <v>231</v>
      </c>
      <c r="O218" s="242" t="s">
        <v>231</v>
      </c>
      <c r="P218" s="61"/>
    </row>
    <row r="219" spans="2:16" ht="15.75" thickTop="1">
      <c r="D219" s="61"/>
      <c r="E219" s="61"/>
      <c r="F219" s="61"/>
      <c r="G219" s="61"/>
      <c r="H219" s="61"/>
      <c r="I219" s="61"/>
      <c r="J219" s="61"/>
      <c r="K219" s="61"/>
      <c r="L219" s="61"/>
      <c r="M219" s="61"/>
      <c r="N219" s="238"/>
      <c r="O219" s="239"/>
      <c r="P219" s="61"/>
    </row>
    <row r="220" spans="2:16" ht="15.75" thickBot="1">
      <c r="C220" s="2" t="s">
        <v>232</v>
      </c>
      <c r="D220" s="61"/>
      <c r="E220" s="61"/>
      <c r="F220" s="61"/>
      <c r="G220" s="61"/>
      <c r="H220" s="61"/>
      <c r="I220" s="61"/>
      <c r="J220" s="61"/>
      <c r="K220" s="61"/>
      <c r="L220" s="61"/>
      <c r="M220" s="61"/>
      <c r="N220" s="102" t="s">
        <v>231</v>
      </c>
      <c r="O220" s="242" t="s">
        <v>231</v>
      </c>
      <c r="P220" s="61"/>
    </row>
    <row r="221" spans="2:16" ht="15.75" thickTop="1">
      <c r="D221" s="61"/>
      <c r="E221" s="61"/>
      <c r="F221" s="61"/>
      <c r="G221" s="61"/>
      <c r="H221" s="61"/>
      <c r="I221" s="61"/>
      <c r="J221" s="61"/>
      <c r="K221" s="61"/>
      <c r="L221" s="61"/>
      <c r="M221" s="61"/>
      <c r="N221" s="181"/>
      <c r="O221" s="42"/>
      <c r="P221" s="61"/>
    </row>
    <row r="222" spans="2:16" ht="15.75" thickBot="1">
      <c r="C222" s="2" t="s">
        <v>363</v>
      </c>
      <c r="D222" s="61"/>
      <c r="E222" s="61"/>
      <c r="F222" s="61"/>
      <c r="G222" s="61"/>
      <c r="H222" s="61"/>
      <c r="I222" s="61"/>
      <c r="J222" s="61"/>
      <c r="K222" s="61"/>
      <c r="L222" s="61"/>
      <c r="M222" s="61"/>
      <c r="N222" s="102">
        <v>74130</v>
      </c>
      <c r="O222" s="242">
        <f>64400+32200+32200</f>
        <v>128800</v>
      </c>
      <c r="P222" s="61"/>
    </row>
    <row r="223" spans="2:16" ht="15.75" thickTop="1">
      <c r="E223" s="61"/>
      <c r="F223" s="61"/>
      <c r="G223" s="61"/>
      <c r="H223" s="61"/>
      <c r="I223" s="61"/>
      <c r="J223" s="61"/>
      <c r="K223" s="61"/>
      <c r="L223" s="61"/>
      <c r="M223" s="61"/>
      <c r="N223" s="74"/>
      <c r="P223" s="61"/>
    </row>
    <row r="224" spans="2:16">
      <c r="C224" s="52"/>
      <c r="D224" s="23"/>
      <c r="I224" s="23"/>
      <c r="J224" s="23"/>
      <c r="O224" s="195"/>
      <c r="P224" s="61"/>
    </row>
    <row r="225" spans="2:17">
      <c r="C225" s="52"/>
      <c r="D225" s="23"/>
      <c r="I225" s="23"/>
      <c r="J225" s="23"/>
      <c r="O225" s="195"/>
      <c r="P225" s="61"/>
    </row>
    <row r="227" spans="2:17">
      <c r="C227" s="49" t="s">
        <v>364</v>
      </c>
      <c r="L227" s="83"/>
      <c r="N227" s="808" t="s">
        <v>30</v>
      </c>
      <c r="O227" s="808"/>
      <c r="P227" s="808"/>
      <c r="Q227" s="808"/>
    </row>
    <row r="228" spans="2:17">
      <c r="C228" s="52"/>
      <c r="D228" s="23"/>
      <c r="I228" s="23"/>
      <c r="J228" s="23"/>
      <c r="O228" s="195"/>
      <c r="P228" s="61"/>
    </row>
    <row r="229" spans="2:17">
      <c r="C229" s="61"/>
      <c r="D229" s="61"/>
      <c r="E229" s="61"/>
      <c r="F229" s="61"/>
      <c r="G229" s="61"/>
      <c r="H229" s="61"/>
      <c r="I229" s="61"/>
      <c r="J229" s="61"/>
      <c r="K229" s="61"/>
      <c r="L229" s="61"/>
      <c r="M229" s="61"/>
      <c r="N229" s="74" t="s">
        <v>301</v>
      </c>
      <c r="O229" s="2"/>
    </row>
    <row r="230" spans="2:17">
      <c r="C230" s="2" t="s">
        <v>365</v>
      </c>
      <c r="G230" s="1"/>
      <c r="H230" s="61"/>
      <c r="I230" s="61"/>
      <c r="J230" s="61"/>
      <c r="K230" s="61"/>
      <c r="L230" s="61"/>
      <c r="M230" s="61"/>
      <c r="N230" s="74"/>
      <c r="O230" s="243"/>
      <c r="P230" s="61"/>
    </row>
    <row r="231" spans="2:17">
      <c r="B231" s="2"/>
      <c r="G231" s="1"/>
      <c r="H231" s="61"/>
      <c r="I231" s="61"/>
      <c r="J231" s="61"/>
      <c r="K231" s="61"/>
      <c r="L231" s="61"/>
      <c r="M231" s="61"/>
      <c r="N231" s="74"/>
      <c r="P231" s="61"/>
    </row>
    <row r="232" spans="2:17">
      <c r="C232" s="2" t="s">
        <v>237</v>
      </c>
      <c r="H232" s="61"/>
      <c r="I232" s="61"/>
      <c r="J232" s="61"/>
      <c r="K232" s="61"/>
      <c r="L232" s="61"/>
      <c r="M232" s="61"/>
      <c r="N232" s="169">
        <v>598752</v>
      </c>
    </row>
    <row r="233" spans="2:17">
      <c r="C233" s="2" t="s">
        <v>238</v>
      </c>
      <c r="H233" s="61"/>
      <c r="I233" s="61"/>
      <c r="J233" s="61"/>
      <c r="K233" s="61"/>
      <c r="L233" s="61"/>
      <c r="M233" s="61"/>
      <c r="N233" s="168">
        <v>112524</v>
      </c>
    </row>
    <row r="234" spans="2:17">
      <c r="C234" s="2" t="s">
        <v>239</v>
      </c>
      <c r="H234" s="61"/>
      <c r="I234" s="61"/>
      <c r="J234" s="61"/>
      <c r="K234" s="61"/>
      <c r="L234" s="61"/>
      <c r="M234" s="61"/>
      <c r="N234" s="168">
        <v>2686</v>
      </c>
      <c r="O234" s="223"/>
      <c r="P234" s="61"/>
      <c r="Q234" s="2" t="s">
        <v>380</v>
      </c>
    </row>
    <row r="235" spans="2:17">
      <c r="C235" s="2" t="s">
        <v>240</v>
      </c>
      <c r="N235" s="168">
        <v>122481</v>
      </c>
      <c r="O235" s="223"/>
      <c r="P235" s="61"/>
    </row>
    <row r="236" spans="2:17">
      <c r="C236" s="2" t="s">
        <v>241</v>
      </c>
      <c r="N236" s="30">
        <v>56181</v>
      </c>
      <c r="O236" s="223"/>
      <c r="P236" s="61"/>
    </row>
    <row r="237" spans="2:17">
      <c r="C237" s="2" t="s">
        <v>242</v>
      </c>
      <c r="N237" s="168">
        <v>1089528</v>
      </c>
      <c r="O237" s="223"/>
      <c r="P237" s="61"/>
      <c r="Q237" s="167">
        <v>598752</v>
      </c>
    </row>
    <row r="238" spans="2:17">
      <c r="C238" s="2" t="s">
        <v>243</v>
      </c>
      <c r="N238" s="168">
        <v>229506</v>
      </c>
      <c r="O238" s="223"/>
      <c r="P238" s="61"/>
      <c r="Q238" s="168"/>
    </row>
    <row r="239" spans="2:17">
      <c r="C239" s="2" t="s">
        <v>244</v>
      </c>
      <c r="N239" s="168">
        <v>663095</v>
      </c>
      <c r="O239" s="223"/>
      <c r="P239" s="61"/>
      <c r="Q239" s="168">
        <v>112524</v>
      </c>
    </row>
    <row r="240" spans="2:17">
      <c r="C240" s="2" t="s">
        <v>245</v>
      </c>
      <c r="N240" s="168">
        <v>109074</v>
      </c>
      <c r="Q240" s="168"/>
    </row>
    <row r="241" spans="3:17">
      <c r="C241" s="2" t="s">
        <v>246</v>
      </c>
      <c r="N241" s="31">
        <v>650794</v>
      </c>
      <c r="Q241" s="168"/>
    </row>
    <row r="242" spans="3:17" ht="15.75" thickBot="1">
      <c r="N242" s="34">
        <f>SUM(N232:N241)</f>
        <v>3634621</v>
      </c>
      <c r="Q242" s="168"/>
    </row>
    <row r="243" spans="3:17" ht="15.75" thickTop="1">
      <c r="N243" s="25"/>
      <c r="Q243" s="168"/>
    </row>
    <row r="244" spans="3:17">
      <c r="C244" s="2" t="s">
        <v>303</v>
      </c>
      <c r="G244" s="1"/>
      <c r="Q244" s="168"/>
    </row>
    <row r="245" spans="3:17">
      <c r="G245" s="1"/>
      <c r="Q245" s="31"/>
    </row>
    <row r="246" spans="3:17" ht="15.75" thickBot="1">
      <c r="C246" s="2" t="s">
        <v>247</v>
      </c>
      <c r="J246" s="2" t="s">
        <v>247</v>
      </c>
      <c r="N246" s="167">
        <v>232474</v>
      </c>
      <c r="Q246" s="114">
        <f>SUM(Q237:Q245)</f>
        <v>711276</v>
      </c>
    </row>
    <row r="247" spans="3:17" ht="15.75" thickTop="1">
      <c r="C247" s="2" t="s">
        <v>248</v>
      </c>
      <c r="J247" s="2" t="s">
        <v>248</v>
      </c>
      <c r="N247" s="168"/>
    </row>
    <row r="248" spans="3:17">
      <c r="C248" s="2" t="s">
        <v>249</v>
      </c>
      <c r="J248" s="2" t="s">
        <v>249</v>
      </c>
      <c r="N248" s="168">
        <v>1952868</v>
      </c>
    </row>
    <row r="249" spans="3:17">
      <c r="C249" s="2" t="s">
        <v>250</v>
      </c>
      <c r="J249" s="2" t="s">
        <v>250</v>
      </c>
      <c r="N249" s="168"/>
    </row>
    <row r="250" spans="3:17">
      <c r="C250" s="2" t="s">
        <v>251</v>
      </c>
      <c r="J250" s="2" t="s">
        <v>251</v>
      </c>
      <c r="N250" s="168">
        <v>162205</v>
      </c>
    </row>
    <row r="251" spans="3:17">
      <c r="C251" s="2" t="s">
        <v>252</v>
      </c>
      <c r="J251" s="2" t="s">
        <v>252</v>
      </c>
      <c r="N251" s="168">
        <f>14688517</f>
        <v>14688517</v>
      </c>
    </row>
    <row r="252" spans="3:17">
      <c r="C252" s="2" t="s">
        <v>253</v>
      </c>
      <c r="J252" s="2" t="s">
        <v>253</v>
      </c>
      <c r="N252" s="31">
        <v>1481661</v>
      </c>
    </row>
    <row r="253" spans="3:17" ht="15.75" thickBot="1">
      <c r="C253" s="2" t="s">
        <v>254</v>
      </c>
      <c r="J253" s="2" t="s">
        <v>254</v>
      </c>
      <c r="N253" s="26">
        <f>SUM(N246:N252)</f>
        <v>18517725</v>
      </c>
    </row>
    <row r="254" spans="3:17" ht="15.75" thickTop="1"/>
    <row r="265" spans="14:14">
      <c r="N265" s="1"/>
    </row>
  </sheetData>
  <mergeCells count="22">
    <mergeCell ref="G22:K22"/>
    <mergeCell ref="G24:K24"/>
    <mergeCell ref="C2:O4"/>
    <mergeCell ref="G7:K8"/>
    <mergeCell ref="G11:K11"/>
    <mergeCell ref="G12:I12"/>
    <mergeCell ref="G20:K21"/>
    <mergeCell ref="C178:S178"/>
    <mergeCell ref="C174:O175"/>
    <mergeCell ref="C177:S177"/>
    <mergeCell ref="C46:O50"/>
    <mergeCell ref="C93:O96"/>
    <mergeCell ref="C118:S120"/>
    <mergeCell ref="C124:S126"/>
    <mergeCell ref="C211:O212"/>
    <mergeCell ref="N227:Q227"/>
    <mergeCell ref="F192:K192"/>
    <mergeCell ref="N192:O192"/>
    <mergeCell ref="I193:K193"/>
    <mergeCell ref="I194:K194"/>
    <mergeCell ref="C195:E195"/>
    <mergeCell ref="I196:K196"/>
  </mergeCells>
  <pageMargins left="0.36" right="0.4" top="0.57999999999999996" bottom="0.75" header="0.31" footer="0.3"/>
  <pageSetup orientation="portrait" r:id="rId1"/>
</worksheet>
</file>

<file path=xl/worksheets/sheet21.xml><?xml version="1.0" encoding="utf-8"?>
<worksheet xmlns="http://schemas.openxmlformats.org/spreadsheetml/2006/main" xmlns:r="http://schemas.openxmlformats.org/officeDocument/2006/relationships">
  <dimension ref="A2:L227"/>
  <sheetViews>
    <sheetView topLeftCell="B1" workbookViewId="0">
      <selection activeCell="K7" sqref="K7"/>
    </sheetView>
  </sheetViews>
  <sheetFormatPr defaultRowHeight="15"/>
  <cols>
    <col min="1" max="1" width="4" style="2" hidden="1" customWidth="1"/>
    <col min="2" max="2" width="49.7109375" style="2" customWidth="1"/>
    <col min="3" max="3" width="17.5703125" style="1" bestFit="1" customWidth="1"/>
    <col min="4" max="4" width="0.7109375" style="2" customWidth="1"/>
    <col min="5" max="5" width="16.140625" style="2" bestFit="1" customWidth="1"/>
    <col min="6" max="6" width="9.140625" style="2"/>
    <col min="7" max="7" width="13.140625" style="2" bestFit="1" customWidth="1"/>
    <col min="8" max="11" width="9.140625" style="2"/>
    <col min="12" max="12" width="10.5703125" style="2" bestFit="1" customWidth="1"/>
    <col min="13" max="16384" width="9.140625" style="2"/>
  </cols>
  <sheetData>
    <row r="2" spans="1:5">
      <c r="B2" s="837" t="s">
        <v>0</v>
      </c>
      <c r="C2" s="837"/>
    </row>
    <row r="3" spans="1:5">
      <c r="B3" s="837" t="s">
        <v>397</v>
      </c>
      <c r="C3" s="837"/>
    </row>
    <row r="4" spans="1:5">
      <c r="B4" s="837" t="s">
        <v>398</v>
      </c>
      <c r="C4" s="837"/>
      <c r="E4" s="247"/>
    </row>
    <row r="5" spans="1:5">
      <c r="C5" s="50" t="s">
        <v>38</v>
      </c>
      <c r="E5" s="50" t="s">
        <v>37</v>
      </c>
    </row>
    <row r="6" spans="1:5">
      <c r="C6" s="1" t="s">
        <v>138</v>
      </c>
      <c r="E6" s="53" t="s">
        <v>138</v>
      </c>
    </row>
    <row r="7" spans="1:5">
      <c r="A7" s="2">
        <v>1</v>
      </c>
      <c r="B7" s="2" t="s">
        <v>399</v>
      </c>
    </row>
    <row r="8" spans="1:5">
      <c r="B8" s="2" t="s">
        <v>400</v>
      </c>
      <c r="C8" s="5" t="e">
        <f>#REF!</f>
        <v>#REF!</v>
      </c>
      <c r="E8" s="2">
        <f>181733838-3731035</f>
        <v>178002803</v>
      </c>
    </row>
    <row r="9" spans="1:5">
      <c r="B9" s="2" t="s">
        <v>401</v>
      </c>
      <c r="C9" s="5"/>
      <c r="E9" s="2">
        <v>38319521</v>
      </c>
    </row>
    <row r="10" spans="1:5">
      <c r="B10" s="2" t="s">
        <v>402</v>
      </c>
      <c r="C10" s="1" t="e">
        <f>SOPL!#REF!</f>
        <v>#REF!</v>
      </c>
      <c r="E10" s="2">
        <v>519578889</v>
      </c>
    </row>
    <row r="11" spans="1:5">
      <c r="B11" s="2" t="s">
        <v>403</v>
      </c>
      <c r="C11" s="2">
        <f>135343839+840000</f>
        <v>136183839</v>
      </c>
      <c r="E11" s="2">
        <v>53787590</v>
      </c>
    </row>
    <row r="12" spans="1:5">
      <c r="B12" s="2" t="s">
        <v>404</v>
      </c>
      <c r="C12" s="14" t="e">
        <f>SOPL!#REF!</f>
        <v>#REF!</v>
      </c>
      <c r="E12" s="2">
        <v>2670000</v>
      </c>
    </row>
    <row r="13" spans="1:5">
      <c r="B13" s="2" t="s">
        <v>405</v>
      </c>
      <c r="C13" s="14">
        <v>90260957</v>
      </c>
      <c r="E13" s="2">
        <v>3108931</v>
      </c>
    </row>
    <row r="14" spans="1:5">
      <c r="B14" s="2" t="s">
        <v>406</v>
      </c>
      <c r="C14" s="16">
        <f>169688471</f>
        <v>169688471</v>
      </c>
      <c r="E14" s="177">
        <v>86399475</v>
      </c>
    </row>
    <row r="15" spans="1:5">
      <c r="C15" s="1" t="e">
        <f>SUM(C8:C14)</f>
        <v>#REF!</v>
      </c>
      <c r="E15" s="2">
        <f>SUM(E8:E14)</f>
        <v>881867209</v>
      </c>
    </row>
    <row r="16" spans="1:5">
      <c r="B16" s="2" t="s">
        <v>407</v>
      </c>
      <c r="C16" s="1" t="e">
        <f>#REF!</f>
        <v>#REF!</v>
      </c>
      <c r="E16" s="2">
        <v>527977712</v>
      </c>
    </row>
    <row r="17" spans="1:7" ht="15.75" thickBot="1">
      <c r="C17" s="32" t="e">
        <f>C15-C16</f>
        <v>#REF!</v>
      </c>
      <c r="E17" s="33">
        <f>E15-E16</f>
        <v>353889497</v>
      </c>
    </row>
    <row r="18" spans="1:7" ht="15.75" thickTop="1">
      <c r="C18" s="14"/>
    </row>
    <row r="19" spans="1:7">
      <c r="B19" s="2" t="s">
        <v>408</v>
      </c>
      <c r="C19" s="14"/>
    </row>
    <row r="20" spans="1:7" ht="15.75" thickBot="1">
      <c r="C20" s="33" t="e">
        <f>C17-C19</f>
        <v>#REF!</v>
      </c>
    </row>
    <row r="21" spans="1:7" ht="15.75" thickTop="1">
      <c r="C21" s="14"/>
    </row>
    <row r="22" spans="1:7">
      <c r="A22" s="2">
        <v>2</v>
      </c>
      <c r="B22" s="2" t="s">
        <v>409</v>
      </c>
    </row>
    <row r="23" spans="1:7">
      <c r="B23" s="2" t="s">
        <v>410</v>
      </c>
      <c r="C23" s="1" t="e">
        <f>'N-4-24-007'!#REF!</f>
        <v>#REF!</v>
      </c>
      <c r="E23" s="1">
        <v>3731035</v>
      </c>
    </row>
    <row r="24" spans="1:7">
      <c r="B24" s="2" t="s">
        <v>411</v>
      </c>
      <c r="C24" s="5">
        <f>'N-20-30'!N44</f>
        <v>243558</v>
      </c>
      <c r="E24" s="2">
        <f>121700+3069</f>
        <v>124769</v>
      </c>
    </row>
    <row r="25" spans="1:7">
      <c r="B25" s="2" t="s">
        <v>345</v>
      </c>
      <c r="C25" s="5">
        <f>'N-20-30'!N47</f>
        <v>0</v>
      </c>
    </row>
    <row r="26" spans="1:7">
      <c r="B26" s="2" t="s">
        <v>412</v>
      </c>
      <c r="C26" s="5"/>
      <c r="E26" s="2">
        <f>15199592</f>
        <v>15199592</v>
      </c>
    </row>
    <row r="27" spans="1:7">
      <c r="B27" s="2" t="s">
        <v>413</v>
      </c>
      <c r="C27" s="5"/>
    </row>
    <row r="28" spans="1:7">
      <c r="B28" s="2" t="s">
        <v>205</v>
      </c>
      <c r="C28" s="248">
        <f>'N-20-30'!N45</f>
        <v>140230891</v>
      </c>
      <c r="E28" s="248">
        <v>11249374</v>
      </c>
    </row>
    <row r="29" spans="1:7">
      <c r="C29" s="14" t="e">
        <f>SUM(C23:C28)</f>
        <v>#REF!</v>
      </c>
      <c r="E29" s="2">
        <f>SUM(E23:E28)</f>
        <v>30304770</v>
      </c>
    </row>
    <row r="30" spans="1:7">
      <c r="B30" s="2" t="s">
        <v>414</v>
      </c>
      <c r="C30" s="14">
        <f>612+612</f>
        <v>1224</v>
      </c>
      <c r="G30" s="2" t="e">
        <f>C32+C20</f>
        <v>#REF!</v>
      </c>
    </row>
    <row r="31" spans="1:7">
      <c r="B31" s="2" t="s">
        <v>415</v>
      </c>
      <c r="C31" s="16" t="e">
        <f>'N-4-24-007'!#REF!</f>
        <v>#REF!</v>
      </c>
      <c r="E31" s="1">
        <v>6674224</v>
      </c>
    </row>
    <row r="32" spans="1:7" ht="15.75" thickBot="1">
      <c r="C32" s="33" t="e">
        <f>C29-C30-C31</f>
        <v>#REF!</v>
      </c>
      <c r="E32" s="33">
        <f>E29-E31</f>
        <v>23630546</v>
      </c>
    </row>
    <row r="33" spans="1:5" s="1" customFormat="1" ht="15.75" thickTop="1">
      <c r="A33" s="1">
        <v>3</v>
      </c>
      <c r="B33" s="1" t="s">
        <v>416</v>
      </c>
    </row>
    <row r="34" spans="1:5" s="1" customFormat="1">
      <c r="B34" s="1" t="s">
        <v>417</v>
      </c>
      <c r="C34" s="1">
        <v>350000</v>
      </c>
      <c r="E34" s="1">
        <v>200000</v>
      </c>
    </row>
    <row r="35" spans="1:5" s="1" customFormat="1">
      <c r="B35" s="1" t="s">
        <v>418</v>
      </c>
      <c r="C35" s="16" t="e">
        <f>SOPL!#REF!+SOPL!#REF!</f>
        <v>#REF!</v>
      </c>
      <c r="E35" s="16">
        <v>2124650</v>
      </c>
    </row>
    <row r="36" spans="1:5" s="1" customFormat="1">
      <c r="C36" s="1" t="e">
        <f>SUM(C34:C35)</f>
        <v>#REF!</v>
      </c>
      <c r="E36" s="1">
        <f>SUM(E34:E35)</f>
        <v>2324650</v>
      </c>
    </row>
    <row r="37" spans="1:5" s="1" customFormat="1">
      <c r="B37" s="1" t="s">
        <v>419</v>
      </c>
      <c r="C37" s="5">
        <v>457137</v>
      </c>
      <c r="E37" s="1">
        <v>0</v>
      </c>
    </row>
    <row r="38" spans="1:5" s="1" customFormat="1">
      <c r="B38" s="1" t="s">
        <v>254</v>
      </c>
      <c r="C38" s="32" t="e">
        <f>C36-C37</f>
        <v>#REF!</v>
      </c>
      <c r="E38" s="32">
        <f>E36-E37</f>
        <v>2324650</v>
      </c>
    </row>
    <row r="39" spans="1:5">
      <c r="A39" s="2">
        <v>4</v>
      </c>
      <c r="B39" s="249" t="s">
        <v>420</v>
      </c>
    </row>
    <row r="40" spans="1:5">
      <c r="B40" s="2" t="s">
        <v>421</v>
      </c>
      <c r="E40" s="1">
        <f>17598339-13655605</f>
        <v>3942734</v>
      </c>
    </row>
    <row r="41" spans="1:5">
      <c r="B41" s="2" t="s">
        <v>422</v>
      </c>
      <c r="C41" s="1" t="e">
        <f>SOPL!#REF!</f>
        <v>#REF!</v>
      </c>
      <c r="E41" s="2">
        <v>44354772</v>
      </c>
    </row>
    <row r="42" spans="1:5">
      <c r="B42" s="2" t="s">
        <v>423</v>
      </c>
      <c r="E42" s="2">
        <v>4716176</v>
      </c>
    </row>
    <row r="43" spans="1:5">
      <c r="B43" s="2" t="s">
        <v>313</v>
      </c>
      <c r="C43" s="32" t="e">
        <f>C40+C41-C42</f>
        <v>#REF!</v>
      </c>
      <c r="E43" s="32">
        <f>E40+E41-E42</f>
        <v>43581330</v>
      </c>
    </row>
    <row r="44" spans="1:5">
      <c r="B44" s="2" t="s">
        <v>424</v>
      </c>
    </row>
    <row r="45" spans="1:5">
      <c r="B45" s="2" t="s">
        <v>425</v>
      </c>
      <c r="C45" s="16"/>
    </row>
    <row r="46" spans="1:5">
      <c r="B46" s="2" t="s">
        <v>426</v>
      </c>
      <c r="C46" s="32" t="e">
        <f>SUM(C43:C45)</f>
        <v>#REF!</v>
      </c>
      <c r="E46" s="32">
        <f>SUM(E43:E45)</f>
        <v>43581330</v>
      </c>
    </row>
    <row r="47" spans="1:5">
      <c r="B47" s="2" t="s">
        <v>427</v>
      </c>
    </row>
    <row r="48" spans="1:5">
      <c r="B48" s="2" t="s">
        <v>428</v>
      </c>
      <c r="C48" s="5">
        <f>'N-14-19'!O91-'N-14-19'!O85-'N-14-19'!O82</f>
        <v>5547101</v>
      </c>
    </row>
    <row r="49" spans="2:5">
      <c r="B49" s="2" t="s">
        <v>20</v>
      </c>
      <c r="C49" s="5">
        <f>'N-20-30'!N36</f>
        <v>38089430</v>
      </c>
    </row>
    <row r="50" spans="2:5">
      <c r="B50" s="2" t="s">
        <v>423</v>
      </c>
      <c r="C50" s="5">
        <f>'N-14-19'!N91-'N-14-19'!N85</f>
        <v>7914584</v>
      </c>
      <c r="E50" s="177"/>
    </row>
    <row r="51" spans="2:5">
      <c r="B51" s="2" t="s">
        <v>313</v>
      </c>
      <c r="C51" s="250">
        <f>C48+C49-C50</f>
        <v>35721947</v>
      </c>
      <c r="E51" s="250"/>
    </row>
    <row r="52" spans="2:5">
      <c r="B52" s="2" t="s">
        <v>429</v>
      </c>
      <c r="C52" s="16">
        <v>1991698</v>
      </c>
      <c r="E52" s="177">
        <v>2818000</v>
      </c>
    </row>
    <row r="53" spans="2:5">
      <c r="C53" s="14">
        <f>C51-C52</f>
        <v>33730249</v>
      </c>
      <c r="E53" s="14">
        <f>E51-E52</f>
        <v>-2818000</v>
      </c>
    </row>
    <row r="54" spans="2:5">
      <c r="B54" s="2" t="s">
        <v>424</v>
      </c>
      <c r="C54" s="251"/>
    </row>
    <row r="55" spans="2:5">
      <c r="B55" s="2" t="s">
        <v>430</v>
      </c>
      <c r="C55" s="251">
        <v>0</v>
      </c>
      <c r="E55" s="177">
        <v>0</v>
      </c>
    </row>
    <row r="56" spans="2:5">
      <c r="B56" s="2" t="s">
        <v>431</v>
      </c>
      <c r="C56" s="32">
        <f>C53+C55</f>
        <v>33730249</v>
      </c>
      <c r="E56" s="32">
        <f>E53+E55</f>
        <v>-2818000</v>
      </c>
    </row>
    <row r="57" spans="2:5" ht="15.75" thickBot="1">
      <c r="B57" s="2" t="s">
        <v>432</v>
      </c>
      <c r="C57" s="94" t="e">
        <f>C46+C56</f>
        <v>#REF!</v>
      </c>
      <c r="E57" s="94">
        <f>E46+E56</f>
        <v>40763330</v>
      </c>
    </row>
    <row r="58" spans="2:5" ht="15.75" thickTop="1">
      <c r="B58" s="2" t="s">
        <v>396</v>
      </c>
      <c r="C58" s="14"/>
    </row>
    <row r="59" spans="2:5">
      <c r="B59" s="10" t="s">
        <v>189</v>
      </c>
      <c r="C59" s="9"/>
    </row>
    <row r="60" spans="2:5">
      <c r="B60" s="10" t="s">
        <v>433</v>
      </c>
      <c r="C60" s="9"/>
    </row>
    <row r="61" spans="2:5" ht="15.75" thickBot="1">
      <c r="B61" s="2" t="s">
        <v>434</v>
      </c>
      <c r="C61" s="33">
        <f>SUM(C59:C60)</f>
        <v>0</v>
      </c>
      <c r="E61" s="33">
        <f>SUM(E59:E60)</f>
        <v>0</v>
      </c>
    </row>
    <row r="62" spans="2:5" ht="15.75" thickTop="1">
      <c r="C62" s="14"/>
    </row>
    <row r="63" spans="2:5">
      <c r="B63" s="2" t="s">
        <v>435</v>
      </c>
    </row>
    <row r="64" spans="2:5">
      <c r="B64" s="2" t="s">
        <v>436</v>
      </c>
      <c r="C64" s="5">
        <v>110201553</v>
      </c>
      <c r="E64" s="5">
        <v>39372119</v>
      </c>
    </row>
    <row r="65" spans="2:5">
      <c r="B65" s="2" t="s">
        <v>437</v>
      </c>
      <c r="C65" s="248">
        <v>57605553.386621177</v>
      </c>
      <c r="E65" s="177">
        <v>58521141.102489196</v>
      </c>
    </row>
    <row r="66" spans="2:5">
      <c r="C66" s="5">
        <f>SUM(C64:C65)</f>
        <v>167807106.38662118</v>
      </c>
      <c r="E66" s="5">
        <f>SUM(E64:E65)</f>
        <v>97893260.102489203</v>
      </c>
    </row>
    <row r="67" spans="2:5">
      <c r="B67" s="2" t="s">
        <v>438</v>
      </c>
      <c r="C67" s="16">
        <v>72584361</v>
      </c>
      <c r="E67" s="177">
        <f>60046129</f>
        <v>60046129</v>
      </c>
    </row>
    <row r="68" spans="2:5">
      <c r="C68" s="14">
        <f>C66-C67</f>
        <v>95222745.386621177</v>
      </c>
      <c r="E68" s="14">
        <f>E66-E67</f>
        <v>37847131.102489203</v>
      </c>
    </row>
    <row r="69" spans="2:5">
      <c r="B69" s="2" t="s">
        <v>439</v>
      </c>
      <c r="C69" s="16">
        <f>38257422+10378953</f>
        <v>48636375</v>
      </c>
      <c r="E69" s="177">
        <v>0</v>
      </c>
    </row>
    <row r="70" spans="2:5">
      <c r="C70" s="14">
        <f>C68-C69</f>
        <v>46586370.386621177</v>
      </c>
      <c r="E70" s="14">
        <f>E68-E69</f>
        <v>37847131.102489203</v>
      </c>
    </row>
    <row r="71" spans="2:5">
      <c r="B71" s="2" t="s">
        <v>440</v>
      </c>
      <c r="C71" s="16"/>
      <c r="E71" s="2">
        <v>0</v>
      </c>
    </row>
    <row r="72" spans="2:5" ht="15.75" thickBot="1">
      <c r="B72" s="2" t="s">
        <v>441</v>
      </c>
      <c r="C72" s="33">
        <f>C70-C71</f>
        <v>46586370.386621177</v>
      </c>
      <c r="E72" s="33">
        <f>E70-E71</f>
        <v>37847131.102489203</v>
      </c>
    </row>
    <row r="73" spans="2:5" ht="15.75" thickTop="1">
      <c r="C73" s="14"/>
      <c r="E73" s="14"/>
    </row>
    <row r="74" spans="2:5">
      <c r="B74" s="2" t="s">
        <v>442</v>
      </c>
    </row>
    <row r="75" spans="2:5">
      <c r="B75" s="2" t="s">
        <v>443</v>
      </c>
      <c r="C75" s="1">
        <f>'N-14-19'!O82</f>
        <v>28623668</v>
      </c>
      <c r="E75" s="1">
        <v>13655605</v>
      </c>
    </row>
    <row r="76" spans="2:5">
      <c r="B76" s="2" t="s">
        <v>444</v>
      </c>
      <c r="C76" s="16">
        <v>0</v>
      </c>
      <c r="E76" s="177"/>
    </row>
    <row r="77" spans="2:5">
      <c r="C77" s="1">
        <f>C75+C76</f>
        <v>28623668</v>
      </c>
      <c r="E77" s="1">
        <f>E75+E76</f>
        <v>13655605</v>
      </c>
    </row>
    <row r="78" spans="2:5">
      <c r="B78" s="2" t="s">
        <v>445</v>
      </c>
      <c r="C78" s="1">
        <f>'N-14-19'!N82</f>
        <v>0</v>
      </c>
      <c r="E78" s="2">
        <v>13655605</v>
      </c>
    </row>
    <row r="79" spans="2:5" ht="15.75" thickBot="1">
      <c r="B79" s="2" t="s">
        <v>434</v>
      </c>
      <c r="C79" s="33">
        <f>C77-C78</f>
        <v>28623668</v>
      </c>
      <c r="E79" s="252">
        <f>E77-E78</f>
        <v>0</v>
      </c>
    </row>
    <row r="80" spans="2:5" ht="15.75" thickTop="1"/>
    <row r="81" spans="1:12">
      <c r="B81" s="2" t="s">
        <v>446</v>
      </c>
    </row>
    <row r="82" spans="1:12">
      <c r="B82" s="2" t="s">
        <v>447</v>
      </c>
      <c r="C82" s="14" t="e">
        <f>#REF!</f>
        <v>#REF!</v>
      </c>
      <c r="E82" s="2">
        <v>3076733220</v>
      </c>
    </row>
    <row r="83" spans="1:12">
      <c r="B83" s="2" t="s">
        <v>448</v>
      </c>
      <c r="C83" s="16" t="e">
        <f>#REF!</f>
        <v>#REF!</v>
      </c>
      <c r="E83" s="177">
        <v>2588985740</v>
      </c>
    </row>
    <row r="84" spans="1:12">
      <c r="C84" s="1" t="e">
        <f>C82-C83</f>
        <v>#REF!</v>
      </c>
      <c r="E84" s="1">
        <f>E82-E83</f>
        <v>487747480</v>
      </c>
    </row>
    <row r="85" spans="1:12">
      <c r="B85" s="2" t="s">
        <v>449</v>
      </c>
      <c r="C85" s="16">
        <v>0</v>
      </c>
      <c r="E85" s="177">
        <v>487551230</v>
      </c>
    </row>
    <row r="86" spans="1:12">
      <c r="C86" s="14" t="e">
        <f>C84-C85</f>
        <v>#REF!</v>
      </c>
      <c r="E86" s="14">
        <f>E84-E85</f>
        <v>196250</v>
      </c>
    </row>
    <row r="87" spans="1:12">
      <c r="B87" s="2" t="s">
        <v>450</v>
      </c>
      <c r="C87" s="14"/>
      <c r="E87" s="2">
        <v>0</v>
      </c>
    </row>
    <row r="88" spans="1:12" ht="15.75" thickBot="1">
      <c r="C88" s="33" t="e">
        <f>C86-C87</f>
        <v>#REF!</v>
      </c>
      <c r="E88" s="33">
        <f>E86-E87</f>
        <v>196250</v>
      </c>
    </row>
    <row r="89" spans="1:12" ht="30.75" thickTop="1">
      <c r="A89" s="2">
        <v>5</v>
      </c>
      <c r="B89" s="253" t="s">
        <v>451</v>
      </c>
      <c r="G89" s="2" t="s">
        <v>452</v>
      </c>
      <c r="L89" s="254">
        <v>0</v>
      </c>
    </row>
    <row r="90" spans="1:12" ht="15.75" thickBot="1">
      <c r="B90" s="2" t="s">
        <v>453</v>
      </c>
      <c r="C90" s="1">
        <v>45508184.799999997</v>
      </c>
      <c r="E90" s="1">
        <v>15389807</v>
      </c>
      <c r="L90" s="33">
        <f>L183-L89</f>
        <v>301499</v>
      </c>
    </row>
    <row r="91" spans="1:12" ht="15.75" thickTop="1">
      <c r="B91" s="2" t="s">
        <v>454</v>
      </c>
      <c r="C91" s="16">
        <v>62169800</v>
      </c>
      <c r="E91" s="16">
        <f>5727405-17000</f>
        <v>5710405</v>
      </c>
      <c r="L91" s="14"/>
    </row>
    <row r="92" spans="1:12">
      <c r="C92" s="1">
        <f>C90-C91</f>
        <v>-16661615.200000003</v>
      </c>
      <c r="E92" s="1">
        <f>E90-E91-17000</f>
        <v>9662402</v>
      </c>
      <c r="L92" s="14"/>
    </row>
    <row r="93" spans="1:12">
      <c r="B93" s="2" t="s">
        <v>455</v>
      </c>
    </row>
    <row r="94" spans="1:12" ht="15.75" thickBot="1">
      <c r="C94" s="33">
        <f>C92+C93</f>
        <v>-16661615.200000003</v>
      </c>
      <c r="E94" s="33">
        <f>E92-E93</f>
        <v>9662402</v>
      </c>
    </row>
    <row r="95" spans="1:12" ht="15.75" thickTop="1">
      <c r="A95" s="2">
        <v>8</v>
      </c>
      <c r="B95" s="2" t="s">
        <v>456</v>
      </c>
      <c r="C95" s="14"/>
    </row>
    <row r="96" spans="1:12">
      <c r="B96" s="2" t="s">
        <v>457</v>
      </c>
      <c r="C96" s="14"/>
      <c r="E96" s="2">
        <f>562419691+224968689</f>
        <v>787388380</v>
      </c>
    </row>
    <row r="97" spans="1:12">
      <c r="B97" s="2" t="s">
        <v>180</v>
      </c>
      <c r="C97" s="16">
        <v>0</v>
      </c>
      <c r="E97" s="177">
        <f>517849532+234850320</f>
        <v>752699852</v>
      </c>
    </row>
    <row r="98" spans="1:12">
      <c r="C98" s="14">
        <f>C96-C97</f>
        <v>0</v>
      </c>
      <c r="E98" s="14">
        <f>E96-E97</f>
        <v>34688528</v>
      </c>
    </row>
    <row r="99" spans="1:12">
      <c r="B99" s="2" t="s">
        <v>458</v>
      </c>
      <c r="C99" s="14"/>
      <c r="E99" s="2">
        <v>84286525</v>
      </c>
    </row>
    <row r="100" spans="1:12" ht="15.75" thickBot="1">
      <c r="B100" s="2" t="s">
        <v>434</v>
      </c>
      <c r="C100" s="33">
        <f>SUM(C96:C97)</f>
        <v>0</v>
      </c>
      <c r="E100" s="33">
        <f>SUM(E98:E99)</f>
        <v>118975053</v>
      </c>
    </row>
    <row r="101" spans="1:12" ht="15.75" thickTop="1">
      <c r="C101" s="14"/>
      <c r="E101" s="14"/>
    </row>
    <row r="102" spans="1:12">
      <c r="B102" s="2" t="s">
        <v>459</v>
      </c>
      <c r="C102" s="14"/>
      <c r="E102" s="14"/>
    </row>
    <row r="103" spans="1:12">
      <c r="B103" s="2" t="s">
        <v>460</v>
      </c>
      <c r="E103" s="1"/>
    </row>
    <row r="104" spans="1:12">
      <c r="B104" s="2" t="s">
        <v>461</v>
      </c>
      <c r="E104" s="1"/>
    </row>
    <row r="105" spans="1:12">
      <c r="C105" s="1">
        <f>SUM(C103:C104)</f>
        <v>0</v>
      </c>
      <c r="E105" s="1">
        <f>SUM(E103:E104)</f>
        <v>0</v>
      </c>
    </row>
    <row r="106" spans="1:12">
      <c r="B106" s="2" t="s">
        <v>462</v>
      </c>
      <c r="E106" s="1"/>
    </row>
    <row r="107" spans="1:12" ht="15.75" thickBot="1">
      <c r="B107" s="2" t="s">
        <v>434</v>
      </c>
      <c r="C107" s="33">
        <f>C105-C106</f>
        <v>0</v>
      </c>
      <c r="E107" s="33">
        <f>E105-E106</f>
        <v>0</v>
      </c>
    </row>
    <row r="108" spans="1:12" ht="15.75" thickTop="1"/>
    <row r="109" spans="1:12" s="1" customFormat="1" ht="15.75" thickBot="1">
      <c r="A109" s="1">
        <v>7</v>
      </c>
      <c r="B109" s="1" t="s">
        <v>463</v>
      </c>
      <c r="L109" s="33">
        <f>L125-L185</f>
        <v>819841</v>
      </c>
    </row>
    <row r="110" spans="1:12" s="1" customFormat="1" ht="15.75" thickTop="1">
      <c r="B110" s="1" t="s">
        <v>464</v>
      </c>
      <c r="C110" s="5">
        <v>6968259</v>
      </c>
      <c r="E110" s="255">
        <v>0</v>
      </c>
      <c r="G110" s="1" t="s">
        <v>465</v>
      </c>
    </row>
    <row r="111" spans="1:12" s="1" customFormat="1">
      <c r="B111" s="1" t="s">
        <v>179</v>
      </c>
      <c r="C111" s="248">
        <v>98245</v>
      </c>
      <c r="E111" s="16">
        <f>175018340+53787590</f>
        <v>228805930</v>
      </c>
      <c r="G111" s="1" t="s">
        <v>466</v>
      </c>
      <c r="L111" s="1">
        <v>18571376</v>
      </c>
    </row>
    <row r="112" spans="1:12" s="1" customFormat="1">
      <c r="C112" s="5">
        <f>SUM(C110:C111)</f>
        <v>7066504</v>
      </c>
      <c r="E112" s="5">
        <f>SUM(E110:E111)</f>
        <v>228805930</v>
      </c>
      <c r="G112" s="1" t="s">
        <v>437</v>
      </c>
      <c r="L112" s="16">
        <v>41936727</v>
      </c>
    </row>
    <row r="113" spans="1:12" s="1" customFormat="1">
      <c r="B113" s="1" t="s">
        <v>467</v>
      </c>
      <c r="C113" s="248">
        <f>77665339-76456835</f>
        <v>1208504</v>
      </c>
      <c r="E113" s="16">
        <v>175018340</v>
      </c>
      <c r="L113" s="1">
        <f>SUM(L111:L112)</f>
        <v>60508103</v>
      </c>
    </row>
    <row r="114" spans="1:12" s="1" customFormat="1">
      <c r="C114" s="9">
        <f>C112-C113</f>
        <v>5858000</v>
      </c>
      <c r="E114" s="14"/>
    </row>
    <row r="115" spans="1:12" s="1" customFormat="1">
      <c r="B115" s="1" t="s">
        <v>468</v>
      </c>
      <c r="C115" s="9">
        <v>4015093</v>
      </c>
      <c r="E115" s="14"/>
    </row>
    <row r="116" spans="1:12" s="1" customFormat="1">
      <c r="C116" s="9"/>
      <c r="E116" s="14"/>
    </row>
    <row r="117" spans="1:12" s="1" customFormat="1" ht="15.75" thickBot="1">
      <c r="B117" s="1" t="s">
        <v>469</v>
      </c>
      <c r="C117" s="33">
        <f>C114-C115</f>
        <v>1842907</v>
      </c>
      <c r="E117" s="33">
        <f>E110+E111-E113</f>
        <v>53787590</v>
      </c>
      <c r="G117" s="1" t="s">
        <v>470</v>
      </c>
      <c r="L117" s="16">
        <f>60508103</f>
        <v>60508103</v>
      </c>
    </row>
    <row r="118" spans="1:12" s="1" customFormat="1" ht="16.5" thickTop="1" thickBot="1">
      <c r="G118" s="1" t="s">
        <v>441</v>
      </c>
      <c r="L118" s="252">
        <f>L113-L117</f>
        <v>0</v>
      </c>
    </row>
    <row r="119" spans="1:12" s="1" customFormat="1" ht="15.75" thickTop="1"/>
    <row r="120" spans="1:12">
      <c r="A120" s="2">
        <v>6</v>
      </c>
      <c r="B120" s="2" t="s">
        <v>471</v>
      </c>
    </row>
    <row r="121" spans="1:12">
      <c r="B121" s="2" t="s">
        <v>472</v>
      </c>
      <c r="C121" s="1">
        <v>92838156</v>
      </c>
      <c r="E121" s="1">
        <v>44839104</v>
      </c>
    </row>
    <row r="122" spans="1:12">
      <c r="B122" s="2" t="s">
        <v>473</v>
      </c>
      <c r="C122" s="16">
        <v>126219257</v>
      </c>
      <c r="E122" s="177">
        <f>86556677</f>
        <v>86556677</v>
      </c>
      <c r="G122" s="2" t="s">
        <v>474</v>
      </c>
      <c r="L122" s="1"/>
    </row>
    <row r="123" spans="1:12">
      <c r="C123" s="1">
        <f>SUM(C121:C122)</f>
        <v>219057413</v>
      </c>
      <c r="E123" s="1">
        <f>SUM(E121:E122)</f>
        <v>131395781</v>
      </c>
      <c r="G123" s="2" t="s">
        <v>475</v>
      </c>
      <c r="L123" s="255">
        <v>0</v>
      </c>
    </row>
    <row r="124" spans="1:12">
      <c r="B124" s="2" t="s">
        <v>476</v>
      </c>
      <c r="C124" s="1">
        <f>99867693+824325+22152994</f>
        <v>122845012</v>
      </c>
      <c r="E124" s="2">
        <v>87659186</v>
      </c>
      <c r="G124" s="2" t="s">
        <v>477</v>
      </c>
      <c r="L124" s="16">
        <v>1354208</v>
      </c>
    </row>
    <row r="125" spans="1:12" ht="15.75" thickBot="1">
      <c r="B125" s="2" t="s">
        <v>478</v>
      </c>
      <c r="C125" s="33">
        <f>C123-C124</f>
        <v>96212401</v>
      </c>
      <c r="E125" s="33">
        <f>E123-E124</f>
        <v>43736595</v>
      </c>
      <c r="L125" s="1">
        <f>SUM(L123:L124)</f>
        <v>1354208</v>
      </c>
    </row>
    <row r="126" spans="1:12" ht="16.5" thickTop="1" thickBot="1">
      <c r="C126" s="33"/>
      <c r="E126" s="33"/>
      <c r="L126" s="1"/>
    </row>
    <row r="127" spans="1:12" s="1" customFormat="1" ht="16.5" thickTop="1" thickBot="1">
      <c r="B127" s="1" t="s">
        <v>479</v>
      </c>
      <c r="C127" s="33" t="e">
        <f>C57+C182-C94+C125+C117</f>
        <v>#REF!</v>
      </c>
      <c r="E127" s="33">
        <f>E57+E182-E94+E125+E117</f>
        <v>129974997</v>
      </c>
    </row>
    <row r="128" spans="1:12" ht="15.75" thickTop="1"/>
    <row r="129" spans="2:5">
      <c r="C129" s="14"/>
    </row>
    <row r="130" spans="2:5">
      <c r="B130" s="2" t="s">
        <v>480</v>
      </c>
      <c r="C130" s="14"/>
    </row>
    <row r="131" spans="2:5">
      <c r="C131" s="14"/>
    </row>
    <row r="132" spans="2:5">
      <c r="B132" s="2" t="s">
        <v>481</v>
      </c>
      <c r="C132" s="14"/>
      <c r="E132" s="2">
        <v>0</v>
      </c>
    </row>
    <row r="133" spans="2:5">
      <c r="B133" s="2" t="s">
        <v>482</v>
      </c>
      <c r="C133" s="16"/>
      <c r="E133" s="177">
        <v>425359</v>
      </c>
    </row>
    <row r="134" spans="2:5">
      <c r="C134" s="14">
        <f>SUM(C132:C133)</f>
        <v>0</v>
      </c>
      <c r="E134" s="14">
        <f>SUM(E132:E133)</f>
        <v>425359</v>
      </c>
    </row>
    <row r="135" spans="2:5">
      <c r="B135" s="2" t="s">
        <v>483</v>
      </c>
      <c r="C135" s="14"/>
      <c r="E135" s="2">
        <v>233209</v>
      </c>
    </row>
    <row r="136" spans="2:5" ht="15.75" thickBot="1">
      <c r="B136" s="2" t="s">
        <v>434</v>
      </c>
      <c r="C136" s="33">
        <f>C134-C135</f>
        <v>0</v>
      </c>
      <c r="E136" s="33">
        <f>E134-E135</f>
        <v>192150</v>
      </c>
    </row>
    <row r="137" spans="2:5" ht="15.75" thickTop="1">
      <c r="C137" s="14"/>
    </row>
    <row r="138" spans="2:5">
      <c r="C138" s="14"/>
    </row>
    <row r="139" spans="2:5">
      <c r="B139" s="2" t="s">
        <v>484</v>
      </c>
      <c r="C139" s="14"/>
    </row>
    <row r="140" spans="2:5">
      <c r="B140" s="2" t="s">
        <v>485</v>
      </c>
      <c r="C140" s="14">
        <v>237018340</v>
      </c>
    </row>
    <row r="141" spans="2:5">
      <c r="B141" s="2" t="s">
        <v>486</v>
      </c>
      <c r="C141" s="14">
        <v>2385832</v>
      </c>
    </row>
    <row r="142" spans="2:5" ht="15.75" thickBot="1">
      <c r="C142" s="33">
        <f>C140-C141</f>
        <v>234632508</v>
      </c>
    </row>
    <row r="143" spans="2:5" ht="15.75" thickTop="1">
      <c r="C143" s="14"/>
    </row>
    <row r="144" spans="2:5">
      <c r="C144" s="14"/>
    </row>
    <row r="145" spans="1:3">
      <c r="C145" s="14"/>
    </row>
    <row r="146" spans="1:3">
      <c r="C146" s="14"/>
    </row>
    <row r="147" spans="1:3">
      <c r="C147" s="14"/>
    </row>
    <row r="148" spans="1:3">
      <c r="C148" s="14"/>
    </row>
    <row r="149" spans="1:3">
      <c r="C149" s="14"/>
    </row>
    <row r="150" spans="1:3">
      <c r="C150" s="14"/>
    </row>
    <row r="151" spans="1:3">
      <c r="C151" s="14"/>
    </row>
    <row r="152" spans="1:3">
      <c r="C152" s="14"/>
    </row>
    <row r="153" spans="1:3">
      <c r="C153" s="14"/>
    </row>
    <row r="154" spans="1:3">
      <c r="C154" s="14"/>
    </row>
    <row r="155" spans="1:3">
      <c r="C155" s="14"/>
    </row>
    <row r="156" spans="1:3">
      <c r="C156" s="14"/>
    </row>
    <row r="157" spans="1:3">
      <c r="C157" s="14"/>
    </row>
    <row r="158" spans="1:3">
      <c r="C158" s="14"/>
    </row>
    <row r="159" spans="1:3">
      <c r="C159" s="14"/>
    </row>
    <row r="160" spans="1:3">
      <c r="A160" s="2">
        <v>6</v>
      </c>
      <c r="B160" s="2" t="s">
        <v>487</v>
      </c>
    </row>
    <row r="161" spans="1:5">
      <c r="B161" s="2" t="s">
        <v>488</v>
      </c>
      <c r="E161" s="1">
        <v>875091700</v>
      </c>
    </row>
    <row r="162" spans="1:5">
      <c r="B162" s="2" t="s">
        <v>489</v>
      </c>
      <c r="E162" s="1">
        <v>875091700</v>
      </c>
    </row>
    <row r="163" spans="1:5" ht="15.75" thickBot="1">
      <c r="C163" s="33">
        <f>C161-C162</f>
        <v>0</v>
      </c>
      <c r="E163" s="33">
        <f>E161-E162</f>
        <v>0</v>
      </c>
    </row>
    <row r="164" spans="1:5" ht="15.75" thickTop="1">
      <c r="C164" s="14"/>
    </row>
    <row r="165" spans="1:5">
      <c r="A165" s="2">
        <v>10</v>
      </c>
      <c r="B165" s="2" t="s">
        <v>490</v>
      </c>
    </row>
    <row r="166" spans="1:5">
      <c r="B166" s="2" t="s">
        <v>491</v>
      </c>
      <c r="C166" s="5">
        <v>0</v>
      </c>
      <c r="E166" s="2">
        <v>0</v>
      </c>
    </row>
    <row r="167" spans="1:5">
      <c r="B167" s="2" t="s">
        <v>492</v>
      </c>
      <c r="C167" s="9"/>
      <c r="E167" s="2">
        <v>0</v>
      </c>
    </row>
    <row r="168" spans="1:5">
      <c r="B168" s="2" t="s">
        <v>493</v>
      </c>
      <c r="C168" s="5">
        <v>0</v>
      </c>
      <c r="E168" s="2">
        <v>0</v>
      </c>
    </row>
    <row r="169" spans="1:5" ht="15.75" thickBot="1">
      <c r="C169" s="33">
        <f>C166+C167-C168</f>
        <v>0</v>
      </c>
      <c r="E169" s="33">
        <f>E166+E167-E168</f>
        <v>0</v>
      </c>
    </row>
    <row r="170" spans="1:5" ht="15.75" thickTop="1">
      <c r="C170" s="14"/>
    </row>
    <row r="171" spans="1:5">
      <c r="C171" s="14"/>
    </row>
    <row r="172" spans="1:5">
      <c r="B172" s="2" t="s">
        <v>395</v>
      </c>
      <c r="C172" s="14"/>
    </row>
    <row r="173" spans="1:5">
      <c r="C173" s="14"/>
    </row>
    <row r="175" spans="1:5">
      <c r="C175" s="14"/>
    </row>
    <row r="177" spans="1:12">
      <c r="A177" s="2">
        <v>9</v>
      </c>
      <c r="B177" s="2" t="s">
        <v>494</v>
      </c>
    </row>
    <row r="178" spans="1:12">
      <c r="B178" s="2" t="s">
        <v>495</v>
      </c>
      <c r="E178" s="1">
        <f>15158836</f>
        <v>15158836</v>
      </c>
    </row>
    <row r="179" spans="1:12">
      <c r="B179" s="2" t="s">
        <v>179</v>
      </c>
      <c r="C179" s="256">
        <v>0</v>
      </c>
      <c r="E179" s="177">
        <v>0</v>
      </c>
    </row>
    <row r="180" spans="1:12">
      <c r="C180" s="1">
        <f>C179+C178</f>
        <v>0</v>
      </c>
      <c r="E180" s="2">
        <f>SUM(E178:E179)</f>
        <v>15158836</v>
      </c>
      <c r="G180" s="2" t="s">
        <v>496</v>
      </c>
      <c r="L180" s="1"/>
    </row>
    <row r="181" spans="1:12">
      <c r="B181" s="2" t="s">
        <v>497</v>
      </c>
      <c r="E181" s="1">
        <f>13808952</f>
        <v>13808952</v>
      </c>
      <c r="G181" s="2" t="s">
        <v>498</v>
      </c>
      <c r="L181" s="5">
        <v>0</v>
      </c>
    </row>
    <row r="182" spans="1:12" ht="15.75" thickBot="1">
      <c r="C182" s="33">
        <f>C180-C181</f>
        <v>0</v>
      </c>
      <c r="E182" s="33">
        <f>E180-E181</f>
        <v>1349884</v>
      </c>
      <c r="G182" s="2" t="s">
        <v>499</v>
      </c>
      <c r="L182" s="254">
        <v>301499</v>
      </c>
    </row>
    <row r="183" spans="1:12" ht="15.75" thickTop="1">
      <c r="L183" s="5">
        <f>L181+L182</f>
        <v>301499</v>
      </c>
    </row>
    <row r="185" spans="1:12">
      <c r="G185" s="2" t="s">
        <v>500</v>
      </c>
      <c r="L185" s="1">
        <v>534367</v>
      </c>
    </row>
    <row r="186" spans="1:12">
      <c r="E186" s="2" t="e">
        <v>#REF!</v>
      </c>
    </row>
    <row r="189" spans="1:12">
      <c r="B189" s="2" t="s">
        <v>501</v>
      </c>
    </row>
    <row r="191" spans="1:12">
      <c r="B191" s="2" t="s">
        <v>502</v>
      </c>
      <c r="C191" s="1">
        <v>0</v>
      </c>
      <c r="E191" s="2">
        <v>0</v>
      </c>
    </row>
    <row r="192" spans="1:12">
      <c r="B192" s="2" t="s">
        <v>461</v>
      </c>
      <c r="C192" s="16">
        <v>27563369</v>
      </c>
      <c r="E192" s="177">
        <v>19795304</v>
      </c>
    </row>
    <row r="193" spans="2:5">
      <c r="C193" s="2">
        <f>SUM(C191:C192)</f>
        <v>27563369</v>
      </c>
      <c r="E193" s="2">
        <f>SUM(E191:E192)</f>
        <v>19795304</v>
      </c>
    </row>
    <row r="194" spans="2:5">
      <c r="B194" s="2" t="s">
        <v>462</v>
      </c>
      <c r="C194" s="16">
        <v>23882867</v>
      </c>
      <c r="E194" s="2">
        <v>0</v>
      </c>
    </row>
    <row r="195" spans="2:5" ht="15.75" thickBot="1">
      <c r="B195" s="2" t="s">
        <v>434</v>
      </c>
      <c r="C195" s="26">
        <f>C193-C194</f>
        <v>3680502</v>
      </c>
      <c r="E195" s="26">
        <f>E193-E194</f>
        <v>19795304</v>
      </c>
    </row>
    <row r="196" spans="2:5" ht="15.75" thickTop="1"/>
    <row r="198" spans="2:5">
      <c r="E198" s="2" t="e">
        <f>C38+C57+C182+C94+C125+C117+L109+L118</f>
        <v>#REF!</v>
      </c>
    </row>
    <row r="205" spans="2:5">
      <c r="B205" s="2" t="s">
        <v>502</v>
      </c>
    </row>
    <row r="206" spans="2:5">
      <c r="B206" s="2" t="s">
        <v>503</v>
      </c>
      <c r="C206" s="1" t="e">
        <f>#REF!-#REF!</f>
        <v>#REF!</v>
      </c>
    </row>
    <row r="207" spans="2:5">
      <c r="B207" s="2" t="s">
        <v>504</v>
      </c>
      <c r="C207" s="255" t="e">
        <f>#REF!-#REF!</f>
        <v>#REF!</v>
      </c>
    </row>
    <row r="208" spans="2:5" ht="15.75" thickBot="1">
      <c r="C208" s="33" t="e">
        <f>#REF!-#REF!</f>
        <v>#REF!</v>
      </c>
    </row>
    <row r="209" spans="1:2" ht="15.75" thickTop="1">
      <c r="B209" s="2" t="s">
        <v>505</v>
      </c>
    </row>
    <row r="210" spans="1:2">
      <c r="B210" s="2" t="s">
        <v>506</v>
      </c>
    </row>
    <row r="214" spans="1:2">
      <c r="A214" s="2">
        <v>8</v>
      </c>
      <c r="B214" s="2" t="s">
        <v>507</v>
      </c>
    </row>
    <row r="215" spans="1:2">
      <c r="B215" s="2" t="s">
        <v>508</v>
      </c>
    </row>
    <row r="216" spans="1:2">
      <c r="B216" s="2" t="s">
        <v>509</v>
      </c>
    </row>
    <row r="218" spans="1:2">
      <c r="B218" s="2" t="s">
        <v>510</v>
      </c>
    </row>
    <row r="220" spans="1:2">
      <c r="A220" s="2">
        <v>9</v>
      </c>
      <c r="B220" s="2" t="s">
        <v>511</v>
      </c>
    </row>
    <row r="221" spans="1:2">
      <c r="B221" s="2" t="s">
        <v>512</v>
      </c>
    </row>
    <row r="222" spans="1:2">
      <c r="B222" s="2" t="s">
        <v>513</v>
      </c>
    </row>
    <row r="225" spans="1:2">
      <c r="A225" s="2">
        <v>10</v>
      </c>
      <c r="B225" s="2" t="s">
        <v>514</v>
      </c>
    </row>
    <row r="226" spans="1:2">
      <c r="B226" s="2" t="s">
        <v>515</v>
      </c>
    </row>
    <row r="227" spans="1:2">
      <c r="B227" s="2" t="s">
        <v>516</v>
      </c>
    </row>
  </sheetData>
  <mergeCells count="3">
    <mergeCell ref="B2:C2"/>
    <mergeCell ref="B3:C3"/>
    <mergeCell ref="B4:C4"/>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B1:P73"/>
  <sheetViews>
    <sheetView topLeftCell="B53" workbookViewId="0">
      <selection activeCell="K7" sqref="K7"/>
    </sheetView>
  </sheetViews>
  <sheetFormatPr defaultRowHeight="15"/>
  <cols>
    <col min="1" max="7" width="9.140625" style="10"/>
    <col min="8" max="8" width="14.28515625" style="10" bestFit="1" customWidth="1"/>
    <col min="9" max="9" width="9.140625" style="10"/>
    <col min="10" max="10" width="12.85546875" style="10" bestFit="1" customWidth="1"/>
    <col min="11" max="16384" width="9.140625" style="10"/>
  </cols>
  <sheetData>
    <row r="1" spans="2:16">
      <c r="J1" s="22"/>
    </row>
    <row r="2" spans="2:16">
      <c r="J2" s="22"/>
    </row>
    <row r="3" spans="2:16">
      <c r="B3" s="838" t="s">
        <v>255</v>
      </c>
      <c r="C3" s="838"/>
      <c r="D3" s="838"/>
      <c r="E3" s="838"/>
      <c r="F3" s="838"/>
      <c r="G3" s="838"/>
      <c r="H3" s="838"/>
      <c r="I3" s="838"/>
      <c r="J3" s="838"/>
    </row>
    <row r="4" spans="2:16">
      <c r="B4" s="808" t="s">
        <v>256</v>
      </c>
      <c r="C4" s="808"/>
      <c r="D4" s="808"/>
      <c r="E4" s="808"/>
      <c r="F4" s="808"/>
      <c r="G4" s="808"/>
      <c r="H4" s="808"/>
      <c r="I4" s="808"/>
      <c r="J4" s="808"/>
      <c r="P4" s="22"/>
    </row>
    <row r="5" spans="2:16">
      <c r="B5" s="808" t="s">
        <v>309</v>
      </c>
      <c r="C5" s="808"/>
      <c r="D5" s="808"/>
      <c r="E5" s="808"/>
      <c r="F5" s="808"/>
      <c r="G5" s="808"/>
      <c r="H5" s="808"/>
      <c r="I5" s="808"/>
      <c r="J5" s="808"/>
    </row>
    <row r="6" spans="2:16">
      <c r="B6" s="808" t="s">
        <v>308</v>
      </c>
      <c r="C6" s="808"/>
      <c r="D6" s="808"/>
      <c r="E6" s="808"/>
      <c r="F6" s="808"/>
      <c r="G6" s="808"/>
      <c r="H6" s="808"/>
      <c r="I6" s="808"/>
      <c r="J6" s="808"/>
    </row>
    <row r="7" spans="2:16">
      <c r="J7" s="22"/>
    </row>
    <row r="8" spans="2:16">
      <c r="B8" s="808" t="s">
        <v>257</v>
      </c>
      <c r="C8" s="808"/>
      <c r="D8" s="808"/>
      <c r="E8" s="808"/>
      <c r="F8" s="808"/>
      <c r="G8" s="808"/>
      <c r="H8" s="808"/>
      <c r="I8" s="808"/>
      <c r="J8" s="808"/>
    </row>
    <row r="9" spans="2:16">
      <c r="J9" s="22"/>
    </row>
    <row r="10" spans="2:16">
      <c r="B10" s="170" t="s">
        <v>258</v>
      </c>
      <c r="C10" s="170"/>
      <c r="D10" s="170"/>
      <c r="E10" s="170"/>
      <c r="F10" s="170"/>
      <c r="G10" s="170"/>
      <c r="H10" s="170"/>
      <c r="I10" s="170"/>
      <c r="J10" s="171" t="s">
        <v>259</v>
      </c>
    </row>
    <row r="11" spans="2:16">
      <c r="J11" s="22"/>
    </row>
    <row r="12" spans="2:16">
      <c r="B12" s="10" t="s">
        <v>260</v>
      </c>
      <c r="J12" s="22" t="e">
        <f>(SOPL!#REF!-SOPL!#REF!)*0.75</f>
        <v>#REF!</v>
      </c>
    </row>
    <row r="13" spans="2:16">
      <c r="B13" s="10" t="s">
        <v>261</v>
      </c>
      <c r="J13" s="24">
        <v>0</v>
      </c>
    </row>
    <row r="14" spans="2:16">
      <c r="J14" s="22" t="e">
        <f>J12-J13</f>
        <v>#REF!</v>
      </c>
    </row>
    <row r="15" spans="2:16">
      <c r="B15" s="170" t="s">
        <v>262</v>
      </c>
      <c r="J15" s="22"/>
    </row>
    <row r="16" spans="2:16">
      <c r="J16" s="22"/>
    </row>
    <row r="17" spans="2:14">
      <c r="B17" s="10" t="s">
        <v>263</v>
      </c>
      <c r="J17" s="22"/>
    </row>
    <row r="18" spans="2:14">
      <c r="J18" s="22"/>
    </row>
    <row r="19" spans="2:14">
      <c r="B19" s="172" t="s">
        <v>264</v>
      </c>
      <c r="C19" s="10" t="s">
        <v>200</v>
      </c>
      <c r="H19" s="22"/>
      <c r="I19" s="173"/>
      <c r="J19" s="22"/>
    </row>
    <row r="20" spans="2:14">
      <c r="B20" s="172" t="s">
        <v>265</v>
      </c>
      <c r="C20" s="10" t="s">
        <v>266</v>
      </c>
      <c r="H20" s="22"/>
      <c r="I20" s="173"/>
      <c r="J20" s="22"/>
      <c r="N20" s="173"/>
    </row>
    <row r="21" spans="2:14">
      <c r="B21" s="172" t="s">
        <v>267</v>
      </c>
      <c r="C21" s="10" t="s">
        <v>268</v>
      </c>
      <c r="H21" s="22"/>
      <c r="I21" s="173"/>
      <c r="J21" s="22"/>
    </row>
    <row r="22" spans="2:14">
      <c r="B22" s="172" t="s">
        <v>269</v>
      </c>
      <c r="C22" s="10" t="s">
        <v>270</v>
      </c>
      <c r="H22" s="22"/>
      <c r="I22" s="173"/>
      <c r="J22" s="22"/>
    </row>
    <row r="23" spans="2:14">
      <c r="B23" s="172" t="s">
        <v>271</v>
      </c>
      <c r="C23" s="10" t="s">
        <v>272</v>
      </c>
      <c r="H23" s="173">
        <v>0</v>
      </c>
      <c r="I23" s="173"/>
      <c r="J23" s="22"/>
    </row>
    <row r="24" spans="2:14">
      <c r="B24" s="172" t="s">
        <v>273</v>
      </c>
      <c r="C24" s="10" t="s">
        <v>274</v>
      </c>
      <c r="H24" s="173">
        <v>0</v>
      </c>
      <c r="I24" s="173"/>
      <c r="J24" s="22"/>
    </row>
    <row r="25" spans="2:14">
      <c r="B25" s="172" t="s">
        <v>275</v>
      </c>
      <c r="C25" s="10" t="s">
        <v>276</v>
      </c>
      <c r="H25" s="174">
        <v>0</v>
      </c>
      <c r="I25" s="51"/>
      <c r="J25" s="22"/>
    </row>
    <row r="26" spans="2:14">
      <c r="J26" s="24">
        <f>SUM(H19:H22)</f>
        <v>0</v>
      </c>
    </row>
    <row r="27" spans="2:14">
      <c r="J27" s="22" t="e">
        <f>J14+J26</f>
        <v>#REF!</v>
      </c>
    </row>
    <row r="28" spans="2:14">
      <c r="J28" s="22"/>
    </row>
    <row r="29" spans="2:14">
      <c r="B29" s="170" t="s">
        <v>277</v>
      </c>
      <c r="J29" s="22"/>
    </row>
    <row r="30" spans="2:14">
      <c r="J30" s="22"/>
    </row>
    <row r="31" spans="2:14">
      <c r="B31" s="10" t="s">
        <v>278</v>
      </c>
      <c r="J31" s="22"/>
    </row>
    <row r="32" spans="2:14">
      <c r="J32" s="22"/>
    </row>
    <row r="33" spans="2:10">
      <c r="B33" s="172" t="s">
        <v>264</v>
      </c>
      <c r="C33" s="10" t="s">
        <v>279</v>
      </c>
      <c r="J33" s="22"/>
    </row>
    <row r="34" spans="2:10">
      <c r="B34" s="172" t="s">
        <v>265</v>
      </c>
      <c r="C34" s="10" t="s">
        <v>280</v>
      </c>
      <c r="J34" s="22">
        <v>0</v>
      </c>
    </row>
    <row r="35" spans="2:10">
      <c r="B35" s="172" t="s">
        <v>267</v>
      </c>
      <c r="C35" s="10" t="s">
        <v>281</v>
      </c>
      <c r="J35" s="22">
        <v>0</v>
      </c>
    </row>
    <row r="36" spans="2:10">
      <c r="J36" s="22"/>
    </row>
    <row r="37" spans="2:10">
      <c r="C37" s="10" t="s">
        <v>282</v>
      </c>
      <c r="J37" s="22"/>
    </row>
    <row r="38" spans="2:10">
      <c r="C38" s="10" t="s">
        <v>283</v>
      </c>
      <c r="J38" s="22"/>
    </row>
    <row r="39" spans="2:10">
      <c r="C39" s="10" t="s">
        <v>284</v>
      </c>
      <c r="J39" s="22"/>
    </row>
    <row r="40" spans="2:10">
      <c r="C40" s="10" t="s">
        <v>285</v>
      </c>
      <c r="J40" s="22"/>
    </row>
    <row r="41" spans="2:10">
      <c r="C41" s="10" t="s">
        <v>286</v>
      </c>
      <c r="J41" s="24"/>
    </row>
    <row r="42" spans="2:10">
      <c r="J42" s="22" t="e">
        <f>J27+J34</f>
        <v>#REF!</v>
      </c>
    </row>
    <row r="43" spans="2:10">
      <c r="B43" s="10" t="s">
        <v>287</v>
      </c>
    </row>
    <row r="45" spans="2:10">
      <c r="B45" s="172" t="s">
        <v>264</v>
      </c>
      <c r="C45" s="10" t="s">
        <v>288</v>
      </c>
      <c r="H45" s="178"/>
    </row>
    <row r="46" spans="2:10">
      <c r="B46" s="172" t="s">
        <v>265</v>
      </c>
      <c r="C46" s="10" t="s">
        <v>268</v>
      </c>
      <c r="H46" s="22"/>
    </row>
    <row r="47" spans="2:10">
      <c r="B47" s="172" t="s">
        <v>267</v>
      </c>
      <c r="C47" s="10" t="s">
        <v>289</v>
      </c>
    </row>
    <row r="48" spans="2:10">
      <c r="B48" s="172" t="s">
        <v>269</v>
      </c>
      <c r="C48" s="10" t="s">
        <v>290</v>
      </c>
    </row>
    <row r="49" spans="2:10">
      <c r="B49" s="172" t="s">
        <v>271</v>
      </c>
      <c r="C49" s="10" t="s">
        <v>291</v>
      </c>
    </row>
    <row r="50" spans="2:10">
      <c r="B50" s="172" t="s">
        <v>273</v>
      </c>
      <c r="C50" s="10" t="s">
        <v>292</v>
      </c>
    </row>
    <row r="51" spans="2:10">
      <c r="C51" s="10" t="s">
        <v>293</v>
      </c>
      <c r="H51" s="175"/>
    </row>
    <row r="52" spans="2:10">
      <c r="B52" s="172"/>
      <c r="J52" s="24">
        <f>SUM(H45:H47)</f>
        <v>0</v>
      </c>
    </row>
    <row r="53" spans="2:10">
      <c r="B53" s="172"/>
      <c r="J53" s="22" t="e">
        <f>J42-J52</f>
        <v>#REF!</v>
      </c>
    </row>
    <row r="54" spans="2:10">
      <c r="B54" s="10" t="s">
        <v>294</v>
      </c>
      <c r="J54" s="22"/>
    </row>
    <row r="55" spans="2:10">
      <c r="J55" s="22"/>
    </row>
    <row r="56" spans="2:10">
      <c r="C56" s="10" t="s">
        <v>295</v>
      </c>
      <c r="H56" s="173">
        <v>0</v>
      </c>
      <c r="J56" s="24"/>
    </row>
    <row r="57" spans="2:10">
      <c r="J57" s="22" t="e">
        <f>J53-J56</f>
        <v>#REF!</v>
      </c>
    </row>
    <row r="58" spans="2:10">
      <c r="J58" s="22"/>
    </row>
    <row r="59" spans="2:10">
      <c r="B59" s="10" t="s">
        <v>296</v>
      </c>
      <c r="J59" s="24"/>
    </row>
    <row r="60" spans="2:10">
      <c r="B60" s="10" t="s">
        <v>297</v>
      </c>
      <c r="J60" s="22" t="e">
        <f>J57-J59</f>
        <v>#REF!</v>
      </c>
    </row>
    <row r="61" spans="2:10">
      <c r="B61" s="10" t="s">
        <v>298</v>
      </c>
      <c r="J61" s="24" t="e">
        <f>SOPL!#REF!</f>
        <v>#REF!</v>
      </c>
    </row>
    <row r="62" spans="2:10" ht="15.75" thickBot="1">
      <c r="B62" s="170" t="s">
        <v>299</v>
      </c>
      <c r="C62" s="170"/>
      <c r="D62" s="170"/>
      <c r="E62" s="170"/>
      <c r="F62" s="170"/>
      <c r="G62" s="170"/>
      <c r="H62" s="170"/>
      <c r="I62" s="170"/>
      <c r="J62" s="34" t="e">
        <f>J60+J61</f>
        <v>#REF!</v>
      </c>
    </row>
    <row r="63" spans="2:10" ht="15.75" thickTop="1"/>
    <row r="64" spans="2:10">
      <c r="B64" s="10" t="s">
        <v>300</v>
      </c>
      <c r="J64" s="176">
        <v>0.27500000000000002</v>
      </c>
    </row>
    <row r="66" spans="2:12" ht="15.75" thickBot="1">
      <c r="B66" s="170" t="s">
        <v>310</v>
      </c>
      <c r="C66" s="170"/>
      <c r="D66" s="170"/>
      <c r="E66" s="170"/>
      <c r="F66" s="170"/>
      <c r="G66" s="170"/>
      <c r="H66" s="170"/>
      <c r="I66" s="170"/>
      <c r="J66" s="34" t="e">
        <f>J62*J64</f>
        <v>#REF!</v>
      </c>
    </row>
    <row r="67" spans="2:12" ht="15.75" thickTop="1"/>
    <row r="68" spans="2:12">
      <c r="B68" s="10" t="s">
        <v>311</v>
      </c>
      <c r="J68" s="22" t="e">
        <f>(SOPL!#REF!*25%)*40%</f>
        <v>#REF!</v>
      </c>
    </row>
    <row r="73" spans="2:12">
      <c r="J73" s="22"/>
      <c r="L73" s="22"/>
    </row>
  </sheetData>
  <mergeCells count="5">
    <mergeCell ref="B3:J3"/>
    <mergeCell ref="B4:J4"/>
    <mergeCell ref="B5:J5"/>
    <mergeCell ref="B6:J6"/>
    <mergeCell ref="B8:J8"/>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J223"/>
  <sheetViews>
    <sheetView topLeftCell="A180" workbookViewId="0">
      <selection activeCell="K7" sqref="K7"/>
    </sheetView>
  </sheetViews>
  <sheetFormatPr defaultRowHeight="15"/>
  <cols>
    <col min="1" max="1" width="9.140625" style="52"/>
    <col min="2" max="3" width="9.140625" style="2"/>
    <col min="4" max="4" width="9.140625" style="2" customWidth="1"/>
    <col min="5" max="5" width="33" style="2" customWidth="1"/>
    <col min="6" max="6" width="9.140625" style="2"/>
    <col min="7" max="7" width="17.85546875" style="2" bestFit="1" customWidth="1"/>
    <col min="8" max="8" width="2.140625" style="2" customWidth="1"/>
    <col min="9" max="9" width="16.140625" style="2" bestFit="1" customWidth="1"/>
    <col min="10" max="16384" width="9.140625" style="2"/>
  </cols>
  <sheetData>
    <row r="1" spans="1:9">
      <c r="A1" s="55">
        <v>3.9</v>
      </c>
      <c r="B1" s="2" t="s">
        <v>42</v>
      </c>
    </row>
    <row r="3" spans="1:9">
      <c r="A3" s="52" t="s">
        <v>43</v>
      </c>
      <c r="B3" s="2" t="s">
        <v>44</v>
      </c>
    </row>
    <row r="5" spans="1:9" ht="15.75" customHeight="1">
      <c r="B5" s="808" t="s">
        <v>45</v>
      </c>
      <c r="C5" s="808"/>
      <c r="D5" s="808"/>
      <c r="E5" s="808"/>
      <c r="F5" s="808"/>
      <c r="G5" s="808"/>
      <c r="H5" s="808"/>
      <c r="I5" s="808"/>
    </row>
    <row r="6" spans="1:9">
      <c r="B6" s="808"/>
      <c r="C6" s="808"/>
      <c r="D6" s="808"/>
      <c r="E6" s="808"/>
      <c r="F6" s="808"/>
      <c r="G6" s="808"/>
      <c r="H6" s="808"/>
      <c r="I6" s="808"/>
    </row>
    <row r="8" spans="1:9">
      <c r="A8" s="52" t="s">
        <v>46</v>
      </c>
      <c r="B8" s="2" t="s">
        <v>15</v>
      </c>
    </row>
    <row r="10" spans="1:9" ht="15.75" customHeight="1">
      <c r="B10" s="808" t="s">
        <v>47</v>
      </c>
      <c r="C10" s="808"/>
      <c r="D10" s="808"/>
      <c r="E10" s="808"/>
      <c r="F10" s="808"/>
      <c r="G10" s="808"/>
      <c r="H10" s="808"/>
      <c r="I10" s="808"/>
    </row>
    <row r="11" spans="1:9">
      <c r="B11" s="808"/>
      <c r="C11" s="808"/>
      <c r="D11" s="808"/>
      <c r="E11" s="808"/>
      <c r="F11" s="808"/>
      <c r="G11" s="808"/>
      <c r="H11" s="808"/>
      <c r="I11" s="808"/>
    </row>
    <row r="13" spans="1:9">
      <c r="A13" s="52" t="s">
        <v>48</v>
      </c>
      <c r="B13" s="2" t="s">
        <v>49</v>
      </c>
    </row>
    <row r="15" spans="1:9" ht="15.75" customHeight="1">
      <c r="B15" s="808" t="s">
        <v>50</v>
      </c>
      <c r="C15" s="808"/>
      <c r="D15" s="808"/>
      <c r="E15" s="808"/>
      <c r="F15" s="808"/>
      <c r="G15" s="808"/>
      <c r="H15" s="808"/>
      <c r="I15" s="808"/>
    </row>
    <row r="17" spans="1:10">
      <c r="G17" s="56" t="s">
        <v>51</v>
      </c>
      <c r="H17" s="52"/>
      <c r="I17" s="56" t="s">
        <v>52</v>
      </c>
    </row>
    <row r="18" spans="1:10">
      <c r="A18" s="57">
        <v>4</v>
      </c>
      <c r="B18" s="58" t="s">
        <v>2</v>
      </c>
      <c r="C18" s="10"/>
      <c r="D18" s="10"/>
      <c r="E18" s="10"/>
      <c r="F18" s="10"/>
      <c r="G18" s="3" t="s">
        <v>1</v>
      </c>
      <c r="H18" s="22"/>
      <c r="I18" s="3" t="s">
        <v>1</v>
      </c>
      <c r="J18" s="5"/>
    </row>
    <row r="19" spans="1:10">
      <c r="A19" s="59"/>
      <c r="B19" s="10"/>
      <c r="C19" s="10"/>
      <c r="D19" s="10"/>
      <c r="E19" s="10"/>
      <c r="F19" s="10"/>
      <c r="G19" s="22"/>
      <c r="H19" s="22"/>
      <c r="I19" s="3"/>
      <c r="J19" s="5"/>
    </row>
    <row r="20" spans="1:10">
      <c r="A20" s="59"/>
      <c r="B20" s="58" t="s">
        <v>53</v>
      </c>
      <c r="C20" s="10"/>
      <c r="D20" s="10"/>
      <c r="E20" s="10"/>
      <c r="F20" s="10"/>
      <c r="G20" s="22"/>
      <c r="H20" s="22"/>
    </row>
    <row r="21" spans="1:10">
      <c r="A21" s="59"/>
      <c r="B21" s="58"/>
      <c r="C21" s="10"/>
      <c r="D21" s="10"/>
      <c r="E21" s="10"/>
      <c r="F21" s="10"/>
      <c r="G21" s="22"/>
      <c r="H21" s="22"/>
    </row>
    <row r="22" spans="1:10" ht="15.75" thickBot="1">
      <c r="A22" s="59"/>
      <c r="B22" s="10"/>
      <c r="C22" s="2" t="s">
        <v>54</v>
      </c>
      <c r="G22" s="60">
        <v>10000000000</v>
      </c>
      <c r="I22" s="60">
        <v>10000000000</v>
      </c>
      <c r="J22" s="23"/>
    </row>
    <row r="23" spans="1:10" ht="15.75" thickTop="1">
      <c r="A23" s="59"/>
      <c r="B23" s="10"/>
      <c r="C23" s="58"/>
      <c r="D23" s="58"/>
      <c r="E23" s="58"/>
      <c r="F23" s="58"/>
      <c r="H23" s="22"/>
    </row>
    <row r="24" spans="1:10">
      <c r="A24" s="59"/>
      <c r="B24" s="58" t="s">
        <v>55</v>
      </c>
      <c r="C24" s="58"/>
      <c r="D24" s="58"/>
      <c r="E24" s="58"/>
      <c r="F24" s="58"/>
      <c r="G24" s="22"/>
      <c r="H24" s="22"/>
      <c r="I24" s="22"/>
    </row>
    <row r="25" spans="1:10">
      <c r="A25" s="59"/>
      <c r="B25" s="58"/>
      <c r="C25" s="58" t="s">
        <v>56</v>
      </c>
      <c r="D25" s="58"/>
      <c r="E25" s="58"/>
      <c r="F25" s="58"/>
      <c r="G25" s="25">
        <v>1400</v>
      </c>
      <c r="H25" s="22"/>
      <c r="I25" s="22">
        <v>1400</v>
      </c>
    </row>
    <row r="26" spans="1:10">
      <c r="A26" s="59"/>
      <c r="B26" s="10"/>
      <c r="C26" s="2" t="s">
        <v>57</v>
      </c>
      <c r="F26" s="61"/>
      <c r="G26" s="18">
        <v>673146400</v>
      </c>
      <c r="H26" s="22"/>
      <c r="I26" s="62">
        <v>673146400</v>
      </c>
    </row>
    <row r="27" spans="1:10">
      <c r="A27" s="59"/>
      <c r="B27" s="10"/>
      <c r="C27" s="2" t="s">
        <v>58</v>
      </c>
      <c r="D27" s="61"/>
      <c r="E27" s="61"/>
      <c r="F27" s="61"/>
      <c r="G27" s="24">
        <v>201943900</v>
      </c>
      <c r="H27" s="22"/>
      <c r="I27" s="24">
        <v>201943900</v>
      </c>
    </row>
    <row r="28" spans="1:10">
      <c r="A28" s="59"/>
      <c r="B28" s="10"/>
      <c r="D28" s="61"/>
      <c r="E28" s="61"/>
      <c r="F28" s="61"/>
      <c r="G28" s="25"/>
      <c r="H28" s="22"/>
      <c r="I28" s="51"/>
    </row>
    <row r="29" spans="1:10" ht="15.75" thickBot="1">
      <c r="A29" s="59"/>
      <c r="B29" s="10"/>
      <c r="C29" s="63"/>
      <c r="D29" s="61"/>
      <c r="E29" s="61"/>
      <c r="F29" s="61"/>
      <c r="G29" s="34">
        <f>SUM(G25:G27)</f>
        <v>875091700</v>
      </c>
      <c r="H29" s="22"/>
      <c r="I29" s="34">
        <f>SUM(I25:I27)</f>
        <v>875091700</v>
      </c>
    </row>
    <row r="30" spans="1:10" ht="15.75" thickTop="1">
      <c r="A30" s="59"/>
      <c r="B30" s="10"/>
      <c r="C30" s="63"/>
      <c r="D30" s="61"/>
      <c r="E30" s="61"/>
      <c r="F30" s="61"/>
      <c r="G30" s="25"/>
      <c r="H30" s="22"/>
      <c r="I30" s="25"/>
    </row>
    <row r="31" spans="1:10">
      <c r="A31" s="59">
        <v>4.0999999999999996</v>
      </c>
      <c r="B31" s="58" t="s">
        <v>59</v>
      </c>
      <c r="C31" s="63"/>
      <c r="D31" s="61"/>
      <c r="E31" s="61"/>
      <c r="F31" s="61"/>
      <c r="G31" s="22"/>
      <c r="H31" s="22"/>
    </row>
    <row r="32" spans="1:10">
      <c r="A32" s="59"/>
      <c r="B32" s="10"/>
      <c r="C32" s="63"/>
      <c r="D32" s="61"/>
      <c r="E32" s="61"/>
      <c r="F32" s="61"/>
      <c r="G32" s="808"/>
      <c r="H32" s="808"/>
      <c r="I32" s="808"/>
    </row>
    <row r="33" spans="1:9" ht="31.5" customHeight="1">
      <c r="A33" s="59"/>
      <c r="B33" s="808" t="s">
        <v>60</v>
      </c>
      <c r="C33" s="808"/>
      <c r="D33" s="61"/>
      <c r="E33" s="64" t="s">
        <v>61</v>
      </c>
      <c r="F33" s="61"/>
      <c r="G33" s="64" t="s">
        <v>62</v>
      </c>
      <c r="H33" s="64"/>
      <c r="I33" s="64" t="s">
        <v>63</v>
      </c>
    </row>
    <row r="34" spans="1:9">
      <c r="A34" s="59"/>
      <c r="B34" s="10"/>
      <c r="C34" s="63"/>
      <c r="D34" s="61"/>
      <c r="E34" s="61"/>
      <c r="F34" s="61"/>
      <c r="G34" s="22"/>
      <c r="H34" s="22"/>
    </row>
    <row r="35" spans="1:9" ht="90">
      <c r="A35" s="59"/>
      <c r="B35" s="10"/>
      <c r="C35" s="65" t="s">
        <v>64</v>
      </c>
      <c r="D35" s="61"/>
      <c r="E35" s="66" t="s">
        <v>65</v>
      </c>
      <c r="F35" s="61"/>
      <c r="G35" s="67">
        <v>87509030</v>
      </c>
      <c r="H35" s="22"/>
      <c r="I35" s="67">
        <f>G35*10</f>
        <v>875090300</v>
      </c>
    </row>
    <row r="36" spans="1:9" ht="45">
      <c r="A36" s="59"/>
      <c r="B36" s="10"/>
      <c r="C36" s="65" t="s">
        <v>66</v>
      </c>
      <c r="D36" s="61"/>
      <c r="E36" s="66" t="s">
        <v>67</v>
      </c>
      <c r="F36" s="61"/>
      <c r="G36" s="67">
        <v>20</v>
      </c>
      <c r="H36" s="22"/>
      <c r="I36" s="67">
        <f t="shared" ref="I36:I43" si="0">G36*10</f>
        <v>200</v>
      </c>
    </row>
    <row r="37" spans="1:9" ht="60">
      <c r="A37" s="59"/>
      <c r="B37" s="10"/>
      <c r="C37" s="65" t="s">
        <v>68</v>
      </c>
      <c r="D37" s="61"/>
      <c r="E37" s="66" t="s">
        <v>69</v>
      </c>
      <c r="F37" s="61"/>
      <c r="G37" s="67">
        <v>20</v>
      </c>
      <c r="H37" s="22"/>
      <c r="I37" s="67">
        <f t="shared" si="0"/>
        <v>200</v>
      </c>
    </row>
    <row r="38" spans="1:9" ht="60">
      <c r="A38" s="59"/>
      <c r="B38" s="10"/>
      <c r="C38" s="68" t="s">
        <v>70</v>
      </c>
      <c r="D38" s="61"/>
      <c r="E38" s="69" t="s">
        <v>71</v>
      </c>
      <c r="F38" s="61"/>
      <c r="G38" s="67">
        <v>20</v>
      </c>
      <c r="H38" s="22"/>
      <c r="I38" s="67">
        <f t="shared" si="0"/>
        <v>200</v>
      </c>
    </row>
    <row r="39" spans="1:9" ht="105">
      <c r="A39" s="59"/>
      <c r="B39" s="10"/>
      <c r="C39" s="65" t="s">
        <v>72</v>
      </c>
      <c r="D39" s="61"/>
      <c r="E39" s="66" t="s">
        <v>73</v>
      </c>
      <c r="F39" s="61"/>
      <c r="G39" s="67">
        <v>20</v>
      </c>
      <c r="H39" s="22"/>
      <c r="I39" s="67">
        <f t="shared" si="0"/>
        <v>200</v>
      </c>
    </row>
    <row r="40" spans="1:9" ht="75">
      <c r="A40" s="59"/>
      <c r="B40" s="10"/>
      <c r="C40" s="68" t="s">
        <v>74</v>
      </c>
      <c r="D40" s="61"/>
      <c r="E40" s="69" t="s">
        <v>75</v>
      </c>
      <c r="F40" s="61"/>
      <c r="G40" s="67">
        <v>20</v>
      </c>
      <c r="H40" s="22"/>
      <c r="I40" s="67">
        <f t="shared" si="0"/>
        <v>200</v>
      </c>
    </row>
    <row r="41" spans="1:9" s="1" customFormat="1">
      <c r="A41" s="70"/>
      <c r="B41" s="4"/>
      <c r="C41" s="71" t="s">
        <v>65</v>
      </c>
      <c r="D41" s="72"/>
      <c r="E41" s="73"/>
      <c r="F41" s="74"/>
      <c r="G41" s="75">
        <v>20</v>
      </c>
      <c r="H41" s="5"/>
      <c r="I41" s="75">
        <f t="shared" si="0"/>
        <v>200</v>
      </c>
    </row>
    <row r="42" spans="1:9" ht="45">
      <c r="A42" s="59"/>
      <c r="B42" s="10"/>
      <c r="C42" s="65" t="s">
        <v>76</v>
      </c>
      <c r="D42" s="61"/>
      <c r="E42" s="76"/>
      <c r="F42" s="61"/>
      <c r="G42" s="67">
        <v>20</v>
      </c>
      <c r="H42" s="22"/>
      <c r="I42" s="67">
        <f t="shared" si="0"/>
        <v>200</v>
      </c>
    </row>
    <row r="43" spans="1:9" ht="15.75" thickBot="1">
      <c r="A43" s="59"/>
      <c r="B43" s="10"/>
      <c r="C43" s="63"/>
      <c r="D43" s="61"/>
      <c r="E43" s="61"/>
      <c r="F43" s="61"/>
      <c r="G43" s="77">
        <f>SUM(G35:G42)</f>
        <v>87509170</v>
      </c>
      <c r="H43" s="22"/>
      <c r="I43" s="77">
        <f t="shared" si="0"/>
        <v>875091700</v>
      </c>
    </row>
    <row r="44" spans="1:9" ht="15.75" thickTop="1">
      <c r="A44" s="59"/>
      <c r="B44" s="58"/>
      <c r="C44" s="63"/>
      <c r="D44" s="61"/>
      <c r="E44" s="61"/>
      <c r="F44" s="61"/>
      <c r="G44" s="78"/>
      <c r="H44" s="22"/>
      <c r="I44" s="78"/>
    </row>
    <row r="45" spans="1:9">
      <c r="A45" s="59"/>
      <c r="B45" s="58" t="s">
        <v>77</v>
      </c>
      <c r="C45" s="63"/>
      <c r="D45" s="61"/>
      <c r="E45" s="61"/>
      <c r="F45" s="61"/>
      <c r="G45" s="808"/>
      <c r="H45" s="808"/>
      <c r="I45" s="808"/>
    </row>
    <row r="46" spans="1:9">
      <c r="A46" s="59"/>
      <c r="B46" s="58"/>
      <c r="C46" s="63"/>
      <c r="D46" s="61"/>
      <c r="E46" s="61"/>
      <c r="F46" s="61"/>
      <c r="G46" s="78"/>
      <c r="H46" s="22"/>
      <c r="I46" s="78"/>
    </row>
    <row r="47" spans="1:9" ht="90">
      <c r="A47" s="59"/>
      <c r="B47" s="10"/>
      <c r="C47" s="65" t="s">
        <v>64</v>
      </c>
      <c r="D47" s="61"/>
      <c r="E47" s="66" t="s">
        <v>65</v>
      </c>
      <c r="F47" s="61"/>
      <c r="G47" s="67">
        <v>87509030</v>
      </c>
      <c r="H47" s="22"/>
      <c r="I47" s="67">
        <f>G47*100</f>
        <v>8750903000</v>
      </c>
    </row>
    <row r="48" spans="1:9" ht="45">
      <c r="A48" s="59"/>
      <c r="B48" s="10"/>
      <c r="C48" s="65" t="s">
        <v>66</v>
      </c>
      <c r="D48" s="61"/>
      <c r="E48" s="66" t="s">
        <v>67</v>
      </c>
      <c r="F48" s="61"/>
      <c r="G48" s="67">
        <v>20</v>
      </c>
      <c r="H48" s="22"/>
      <c r="I48" s="67">
        <f>G48*100</f>
        <v>2000</v>
      </c>
    </row>
    <row r="49" spans="1:9" ht="60">
      <c r="A49" s="59"/>
      <c r="B49" s="10"/>
      <c r="C49" s="65" t="s">
        <v>68</v>
      </c>
      <c r="D49" s="61"/>
      <c r="E49" s="66" t="s">
        <v>69</v>
      </c>
      <c r="F49" s="61"/>
      <c r="G49" s="67">
        <v>20</v>
      </c>
      <c r="H49" s="22"/>
      <c r="I49" s="67">
        <f t="shared" ref="I49:I54" si="1">G49*100</f>
        <v>2000</v>
      </c>
    </row>
    <row r="50" spans="1:9" ht="60">
      <c r="A50" s="59"/>
      <c r="B50" s="10"/>
      <c r="C50" s="68" t="s">
        <v>70</v>
      </c>
      <c r="D50" s="61"/>
      <c r="E50" s="69" t="s">
        <v>71</v>
      </c>
      <c r="F50" s="61"/>
      <c r="G50" s="67">
        <v>20</v>
      </c>
      <c r="H50" s="22"/>
      <c r="I50" s="67">
        <f t="shared" si="1"/>
        <v>2000</v>
      </c>
    </row>
    <row r="51" spans="1:9" ht="105">
      <c r="A51" s="59"/>
      <c r="B51" s="10"/>
      <c r="C51" s="65" t="s">
        <v>72</v>
      </c>
      <c r="D51" s="61"/>
      <c r="E51" s="66" t="s">
        <v>78</v>
      </c>
      <c r="F51" s="61"/>
      <c r="G51" s="67">
        <v>20</v>
      </c>
      <c r="H51" s="22"/>
      <c r="I51" s="67">
        <f t="shared" si="1"/>
        <v>2000</v>
      </c>
    </row>
    <row r="52" spans="1:9" ht="75">
      <c r="A52" s="59"/>
      <c r="B52" s="10"/>
      <c r="C52" s="68" t="s">
        <v>74</v>
      </c>
      <c r="D52" s="61"/>
      <c r="E52" s="69" t="s">
        <v>75</v>
      </c>
      <c r="F52" s="61"/>
      <c r="G52" s="67">
        <v>20</v>
      </c>
      <c r="H52" s="22"/>
      <c r="I52" s="67">
        <f t="shared" si="1"/>
        <v>2000</v>
      </c>
    </row>
    <row r="53" spans="1:9">
      <c r="A53" s="59"/>
      <c r="B53" s="10"/>
      <c r="C53" s="71" t="s">
        <v>65</v>
      </c>
      <c r="D53" s="72"/>
      <c r="E53" s="73"/>
      <c r="F53" s="74"/>
      <c r="G53" s="75">
        <v>20</v>
      </c>
      <c r="H53" s="5"/>
      <c r="I53" s="67">
        <f t="shared" si="1"/>
        <v>2000</v>
      </c>
    </row>
    <row r="54" spans="1:9" ht="45">
      <c r="A54" s="59"/>
      <c r="B54" s="10"/>
      <c r="C54" s="65" t="s">
        <v>76</v>
      </c>
      <c r="D54" s="61"/>
      <c r="E54" s="76"/>
      <c r="F54" s="61"/>
      <c r="G54" s="67">
        <v>20</v>
      </c>
      <c r="H54" s="22"/>
      <c r="I54" s="67">
        <f t="shared" si="1"/>
        <v>2000</v>
      </c>
    </row>
    <row r="55" spans="1:9" ht="15.75" thickBot="1">
      <c r="A55" s="59"/>
      <c r="B55" s="10"/>
      <c r="C55" s="63"/>
      <c r="D55" s="61"/>
      <c r="E55" s="61"/>
      <c r="F55" s="61"/>
      <c r="G55" s="77">
        <f>SUM(G47:G54)</f>
        <v>87509170</v>
      </c>
      <c r="H55" s="22"/>
      <c r="I55" s="77">
        <f>G55*10</f>
        <v>875091700</v>
      </c>
    </row>
    <row r="56" spans="1:9" ht="15.75" thickTop="1">
      <c r="A56" s="59"/>
      <c r="B56" s="10"/>
      <c r="C56" s="63"/>
      <c r="D56" s="61"/>
      <c r="E56" s="61"/>
      <c r="F56" s="61"/>
      <c r="G56" s="78"/>
      <c r="H56" s="22"/>
      <c r="I56" s="78"/>
    </row>
    <row r="57" spans="1:9">
      <c r="A57" s="59"/>
      <c r="B57" s="79" t="s">
        <v>79</v>
      </c>
      <c r="C57" s="10"/>
      <c r="D57" s="61"/>
      <c r="E57" s="61"/>
      <c r="F57" s="61"/>
      <c r="G57" s="78"/>
      <c r="H57" s="22"/>
      <c r="I57" s="78"/>
    </row>
    <row r="58" spans="1:9">
      <c r="A58" s="59"/>
      <c r="C58" s="10"/>
      <c r="D58" s="61"/>
      <c r="E58" s="61"/>
      <c r="F58" s="61"/>
      <c r="G58" s="78"/>
      <c r="H58" s="22"/>
      <c r="I58" s="78"/>
    </row>
    <row r="59" spans="1:9">
      <c r="A59" s="59"/>
      <c r="C59" s="79" t="s">
        <v>80</v>
      </c>
      <c r="D59" s="61"/>
      <c r="E59" s="80" t="s">
        <v>81</v>
      </c>
      <c r="F59" s="79"/>
      <c r="G59" s="81" t="s">
        <v>82</v>
      </c>
      <c r="H59" s="81"/>
      <c r="I59" s="82" t="s">
        <v>83</v>
      </c>
    </row>
    <row r="60" spans="1:9">
      <c r="A60" s="59"/>
      <c r="C60" s="10"/>
      <c r="D60" s="61"/>
      <c r="E60" s="61"/>
      <c r="F60" s="61"/>
      <c r="G60" s="78"/>
      <c r="H60" s="22"/>
      <c r="I60" s="78"/>
    </row>
    <row r="61" spans="1:9">
      <c r="A61" s="59"/>
      <c r="C61" s="808" t="s">
        <v>84</v>
      </c>
      <c r="D61" s="808"/>
      <c r="E61" s="83">
        <v>7</v>
      </c>
      <c r="F61" s="61"/>
      <c r="G61" s="78">
        <v>140</v>
      </c>
      <c r="H61" s="22"/>
      <c r="I61" s="84">
        <f>G61/G43</f>
        <v>1.5998323375710226E-6</v>
      </c>
    </row>
    <row r="62" spans="1:9">
      <c r="A62" s="59"/>
      <c r="C62" s="808" t="s">
        <v>85</v>
      </c>
      <c r="D62" s="808"/>
      <c r="E62" s="83">
        <v>1</v>
      </c>
      <c r="F62" s="61"/>
      <c r="G62" s="67">
        <v>87509030</v>
      </c>
      <c r="H62" s="22"/>
      <c r="I62" s="84">
        <f>G62/G43</f>
        <v>0.99999840016766239</v>
      </c>
    </row>
    <row r="63" spans="1:9">
      <c r="A63" s="59"/>
      <c r="C63" s="85"/>
      <c r="D63" s="85"/>
      <c r="E63" s="83"/>
      <c r="F63" s="61"/>
      <c r="G63" s="67"/>
      <c r="H63" s="22"/>
      <c r="I63" s="84"/>
    </row>
    <row r="64" spans="1:9">
      <c r="A64" s="59"/>
      <c r="C64" s="85"/>
      <c r="D64" s="85"/>
      <c r="E64" s="83"/>
      <c r="F64" s="61"/>
      <c r="G64" s="67"/>
      <c r="H64" s="22"/>
      <c r="I64" s="84"/>
    </row>
    <row r="65" spans="1:10">
      <c r="A65" s="59"/>
      <c r="C65" s="85"/>
      <c r="D65" s="85"/>
      <c r="E65" s="83"/>
      <c r="F65" s="61"/>
      <c r="G65" s="67"/>
      <c r="H65" s="22"/>
      <c r="I65" s="84"/>
    </row>
    <row r="66" spans="1:10" ht="15.75" thickBot="1">
      <c r="A66" s="59"/>
      <c r="B66" s="10"/>
      <c r="C66" s="63"/>
      <c r="D66" s="61"/>
      <c r="E66" s="86">
        <f>SUM(E61:E62)</f>
        <v>8</v>
      </c>
      <c r="F66" s="61"/>
      <c r="G66" s="87">
        <f>SUM(G61:G62)</f>
        <v>87509170</v>
      </c>
      <c r="H66" s="59"/>
      <c r="I66" s="88">
        <f>SUM(I61:I62)</f>
        <v>1</v>
      </c>
      <c r="J66" s="25"/>
    </row>
    <row r="67" spans="1:10" ht="15.75" thickTop="1">
      <c r="A67" s="59"/>
      <c r="B67" s="10"/>
      <c r="C67" s="63"/>
      <c r="D67" s="61"/>
      <c r="E67" s="89"/>
      <c r="F67" s="61"/>
      <c r="G67" s="90"/>
      <c r="H67" s="59"/>
      <c r="I67" s="84"/>
      <c r="J67" s="25"/>
    </row>
    <row r="68" spans="1:10">
      <c r="A68" s="59"/>
      <c r="B68" s="10"/>
      <c r="C68" s="63"/>
      <c r="D68" s="61"/>
      <c r="E68" s="89"/>
      <c r="F68" s="61"/>
      <c r="G68" s="90"/>
      <c r="H68" s="59"/>
      <c r="I68" s="84"/>
      <c r="J68" s="25"/>
    </row>
    <row r="69" spans="1:10">
      <c r="A69" s="59"/>
      <c r="B69" s="10"/>
      <c r="C69" s="63"/>
      <c r="D69" s="61"/>
      <c r="E69" s="89"/>
      <c r="F69" s="61"/>
      <c r="G69" s="90"/>
      <c r="H69" s="59"/>
      <c r="I69" s="84"/>
      <c r="J69" s="25"/>
    </row>
    <row r="70" spans="1:10">
      <c r="A70" s="59"/>
      <c r="B70" s="10"/>
      <c r="C70" s="63"/>
      <c r="D70" s="61"/>
      <c r="E70" s="89"/>
      <c r="F70" s="61"/>
      <c r="G70" s="90"/>
      <c r="H70" s="59"/>
      <c r="I70" s="84"/>
      <c r="J70" s="25"/>
    </row>
    <row r="71" spans="1:10">
      <c r="A71" s="59"/>
      <c r="B71" s="10"/>
      <c r="C71" s="63"/>
      <c r="D71" s="61"/>
      <c r="E71" s="89"/>
      <c r="F71" s="61"/>
      <c r="G71" s="90"/>
      <c r="H71" s="59"/>
      <c r="I71" s="84"/>
      <c r="J71" s="25"/>
    </row>
    <row r="72" spans="1:10">
      <c r="A72" s="59">
        <v>4.2</v>
      </c>
      <c r="B72" s="10"/>
      <c r="C72" s="10" t="s">
        <v>86</v>
      </c>
      <c r="D72" s="61"/>
      <c r="E72" s="89"/>
      <c r="F72" s="61"/>
      <c r="G72" s="90"/>
      <c r="H72" s="59"/>
      <c r="I72" s="84"/>
      <c r="J72" s="25"/>
    </row>
    <row r="73" spans="1:10">
      <c r="A73" s="59"/>
      <c r="B73" s="91"/>
      <c r="C73" s="91"/>
      <c r="D73" s="91"/>
      <c r="E73" s="91"/>
      <c r="F73" s="91"/>
      <c r="G73" s="3"/>
      <c r="H73" s="22"/>
      <c r="I73" s="3"/>
      <c r="J73" s="25"/>
    </row>
    <row r="74" spans="1:10">
      <c r="A74" s="59"/>
      <c r="B74" s="91"/>
      <c r="C74" s="91"/>
      <c r="D74" s="91"/>
      <c r="E74" s="91"/>
      <c r="F74" s="91"/>
      <c r="G74" s="3"/>
      <c r="H74" s="22"/>
      <c r="I74" s="3"/>
      <c r="J74" s="25"/>
    </row>
    <row r="75" spans="1:10">
      <c r="A75" s="92">
        <v>4.3</v>
      </c>
      <c r="B75" s="4" t="s">
        <v>87</v>
      </c>
      <c r="C75" s="4"/>
      <c r="D75" s="4"/>
      <c r="E75" s="9"/>
      <c r="F75" s="9"/>
      <c r="G75" s="9"/>
      <c r="H75" s="9"/>
      <c r="I75" s="9"/>
      <c r="J75" s="25"/>
    </row>
    <row r="76" spans="1:10">
      <c r="A76" s="92"/>
      <c r="B76" s="4"/>
      <c r="C76" s="4"/>
      <c r="D76" s="4"/>
      <c r="E76" s="9"/>
      <c r="F76" s="9"/>
      <c r="G76" s="9"/>
      <c r="H76" s="9"/>
      <c r="I76" s="9"/>
      <c r="J76" s="25"/>
    </row>
    <row r="77" spans="1:10" ht="15.75" customHeight="1">
      <c r="A77" s="92"/>
      <c r="B77" s="93"/>
      <c r="C77" s="808" t="s">
        <v>88</v>
      </c>
      <c r="D77" s="808"/>
      <c r="E77" s="808"/>
      <c r="F77" s="808"/>
      <c r="G77" s="808"/>
      <c r="H77" s="808"/>
      <c r="I77" s="808"/>
      <c r="J77" s="25"/>
    </row>
    <row r="78" spans="1:10">
      <c r="A78" s="92"/>
      <c r="B78" s="93"/>
      <c r="C78" s="808"/>
      <c r="D78" s="808"/>
      <c r="E78" s="808"/>
      <c r="F78" s="808"/>
      <c r="G78" s="808"/>
      <c r="H78" s="808"/>
      <c r="I78" s="808"/>
      <c r="J78" s="25"/>
    </row>
    <row r="79" spans="1:10">
      <c r="A79" s="92"/>
      <c r="B79" s="93"/>
      <c r="C79" s="808"/>
      <c r="D79" s="808"/>
      <c r="E79" s="808"/>
      <c r="F79" s="808"/>
      <c r="G79" s="808"/>
      <c r="H79" s="808"/>
      <c r="I79" s="808"/>
      <c r="J79" s="25"/>
    </row>
    <row r="80" spans="1:10">
      <c r="A80" s="92"/>
      <c r="B80" s="93"/>
      <c r="C80" s="808"/>
      <c r="D80" s="808"/>
      <c r="E80" s="808"/>
      <c r="F80" s="808"/>
      <c r="G80" s="808"/>
      <c r="H80" s="808"/>
      <c r="I80" s="808"/>
      <c r="J80" s="25"/>
    </row>
    <row r="81" spans="1:10">
      <c r="A81" s="92"/>
      <c r="B81" s="93"/>
      <c r="C81" s="808"/>
      <c r="D81" s="808"/>
      <c r="E81" s="808"/>
      <c r="F81" s="808"/>
      <c r="G81" s="808"/>
      <c r="H81" s="808"/>
      <c r="I81" s="808"/>
      <c r="J81" s="25"/>
    </row>
    <row r="82" spans="1:10">
      <c r="A82" s="92"/>
      <c r="B82" s="93"/>
      <c r="C82" s="808"/>
      <c r="D82" s="808"/>
      <c r="E82" s="808"/>
      <c r="F82" s="808"/>
      <c r="G82" s="808"/>
      <c r="H82" s="808"/>
      <c r="I82" s="808"/>
      <c r="J82" s="25"/>
    </row>
    <row r="83" spans="1:10">
      <c r="A83" s="92"/>
      <c r="B83" s="93"/>
      <c r="C83" s="808"/>
      <c r="D83" s="808"/>
      <c r="E83" s="808"/>
      <c r="F83" s="808"/>
      <c r="G83" s="808"/>
      <c r="H83" s="808"/>
      <c r="I83" s="808"/>
      <c r="J83" s="25"/>
    </row>
    <row r="84" spans="1:10">
      <c r="A84" s="92"/>
      <c r="B84" s="93"/>
      <c r="C84" s="808"/>
      <c r="D84" s="808"/>
      <c r="E84" s="808"/>
      <c r="F84" s="808"/>
      <c r="G84" s="808"/>
      <c r="H84" s="808"/>
      <c r="I84" s="808"/>
      <c r="J84" s="25"/>
    </row>
    <row r="85" spans="1:10">
      <c r="A85" s="92"/>
      <c r="B85" s="93"/>
      <c r="C85" s="93"/>
      <c r="D85" s="93"/>
      <c r="E85" s="93"/>
      <c r="F85" s="93"/>
      <c r="G85" s="3"/>
      <c r="H85" s="5"/>
      <c r="I85" s="3"/>
      <c r="J85" s="25"/>
    </row>
    <row r="86" spans="1:10" ht="15.75" customHeight="1">
      <c r="A86" s="92"/>
      <c r="B86" s="93"/>
      <c r="C86" s="808" t="s">
        <v>89</v>
      </c>
      <c r="D86" s="808"/>
      <c r="E86" s="808"/>
      <c r="F86" s="808"/>
      <c r="G86" s="808"/>
      <c r="H86" s="808"/>
      <c r="I86" s="808"/>
      <c r="J86" s="25"/>
    </row>
    <row r="87" spans="1:10">
      <c r="A87" s="92"/>
      <c r="B87" s="93"/>
      <c r="C87" s="808"/>
      <c r="D87" s="808"/>
      <c r="E87" s="808"/>
      <c r="F87" s="808"/>
      <c r="G87" s="808"/>
      <c r="H87" s="808"/>
      <c r="I87" s="808"/>
      <c r="J87" s="25"/>
    </row>
    <row r="88" spans="1:10">
      <c r="A88" s="92"/>
      <c r="B88" s="93"/>
      <c r="C88" s="808"/>
      <c r="D88" s="808"/>
      <c r="E88" s="808"/>
      <c r="F88" s="808"/>
      <c r="G88" s="808"/>
      <c r="H88" s="808"/>
      <c r="I88" s="808"/>
      <c r="J88" s="25"/>
    </row>
    <row r="89" spans="1:10">
      <c r="A89" s="59"/>
      <c r="B89" s="91"/>
      <c r="C89" s="91"/>
      <c r="D89" s="91"/>
      <c r="E89" s="91"/>
      <c r="F89" s="91"/>
      <c r="G89" s="3"/>
      <c r="H89" s="22"/>
      <c r="I89" s="3"/>
      <c r="J89" s="25"/>
    </row>
    <row r="90" spans="1:10" ht="15.75" customHeight="1">
      <c r="A90" s="59">
        <v>4.4000000000000004</v>
      </c>
      <c r="B90" s="91"/>
      <c r="C90" s="808" t="s">
        <v>90</v>
      </c>
      <c r="D90" s="808"/>
      <c r="E90" s="808"/>
      <c r="F90" s="808"/>
      <c r="G90" s="808"/>
      <c r="H90" s="808"/>
      <c r="I90" s="808"/>
      <c r="J90" s="25"/>
    </row>
    <row r="91" spans="1:10">
      <c r="A91" s="59"/>
      <c r="B91" s="91"/>
      <c r="C91" s="808"/>
      <c r="D91" s="808"/>
      <c r="E91" s="808"/>
      <c r="F91" s="808"/>
      <c r="G91" s="808"/>
      <c r="H91" s="808"/>
      <c r="I91" s="808"/>
      <c r="J91" s="25"/>
    </row>
    <row r="92" spans="1:10">
      <c r="A92" s="59"/>
      <c r="B92" s="91"/>
      <c r="C92" s="808"/>
      <c r="D92" s="808"/>
      <c r="E92" s="808"/>
      <c r="F92" s="808"/>
      <c r="G92" s="808"/>
      <c r="H92" s="808"/>
      <c r="I92" s="808"/>
      <c r="J92" s="25"/>
    </row>
    <row r="93" spans="1:10">
      <c r="A93" s="59"/>
      <c r="B93" s="91"/>
      <c r="C93" s="808"/>
      <c r="D93" s="808"/>
      <c r="E93" s="808"/>
      <c r="F93" s="808"/>
      <c r="G93" s="808"/>
      <c r="H93" s="808"/>
      <c r="I93" s="808"/>
      <c r="J93" s="25"/>
    </row>
    <row r="94" spans="1:10">
      <c r="A94" s="59"/>
      <c r="B94" s="91"/>
      <c r="C94" s="808"/>
      <c r="D94" s="808"/>
      <c r="E94" s="808"/>
      <c r="F94" s="808"/>
      <c r="G94" s="808"/>
      <c r="H94" s="808"/>
      <c r="I94" s="808"/>
      <c r="J94" s="25"/>
    </row>
    <row r="95" spans="1:10">
      <c r="A95" s="59"/>
      <c r="B95" s="91"/>
      <c r="C95" s="91"/>
      <c r="D95" s="91"/>
      <c r="E95" s="91"/>
      <c r="F95" s="91"/>
      <c r="G95" s="56" t="s">
        <v>51</v>
      </c>
      <c r="H95" s="52"/>
      <c r="I95" s="56" t="s">
        <v>52</v>
      </c>
      <c r="J95" s="25"/>
    </row>
    <row r="96" spans="1:10">
      <c r="A96" s="59"/>
      <c r="B96" s="91"/>
      <c r="C96" s="91"/>
      <c r="D96" s="91"/>
      <c r="E96" s="91"/>
      <c r="F96" s="91"/>
      <c r="G96" s="3" t="s">
        <v>1</v>
      </c>
      <c r="H96" s="22"/>
      <c r="I96" s="3" t="s">
        <v>1</v>
      </c>
      <c r="J96" s="25"/>
    </row>
    <row r="97" spans="1:10">
      <c r="A97" s="59"/>
      <c r="B97" s="91"/>
      <c r="C97" s="91"/>
      <c r="D97" s="91"/>
      <c r="E97" s="91"/>
      <c r="F97" s="91"/>
      <c r="G97" s="3"/>
      <c r="H97" s="22"/>
      <c r="I97" s="3"/>
      <c r="J97" s="25"/>
    </row>
    <row r="98" spans="1:10" ht="15.75" thickBot="1">
      <c r="A98" s="52">
        <v>5</v>
      </c>
      <c r="B98" s="2" t="s">
        <v>4</v>
      </c>
      <c r="G98" s="94">
        <v>352254032</v>
      </c>
      <c r="I98" s="60">
        <f>164654032+0.49</f>
        <v>164654032.49000001</v>
      </c>
    </row>
    <row r="99" spans="1:10" ht="15.75" thickTop="1"/>
    <row r="100" spans="1:10" ht="15.75" customHeight="1">
      <c r="C100" s="808" t="s">
        <v>91</v>
      </c>
      <c r="D100" s="808"/>
      <c r="E100" s="808"/>
      <c r="F100" s="808"/>
      <c r="G100" s="808"/>
      <c r="H100" s="808"/>
      <c r="I100" s="808"/>
    </row>
    <row r="101" spans="1:10">
      <c r="C101" s="808"/>
      <c r="D101" s="808"/>
      <c r="E101" s="808"/>
      <c r="F101" s="808"/>
      <c r="G101" s="808"/>
      <c r="H101" s="808"/>
      <c r="I101" s="808"/>
    </row>
    <row r="102" spans="1:10">
      <c r="B102" s="95"/>
      <c r="C102" s="808"/>
      <c r="D102" s="808"/>
      <c r="E102" s="808"/>
      <c r="F102" s="808"/>
      <c r="G102" s="808"/>
      <c r="H102" s="808"/>
      <c r="I102" s="808"/>
    </row>
    <row r="104" spans="1:10" ht="15.75" thickBot="1">
      <c r="A104" s="52">
        <f>A98+1</f>
        <v>6</v>
      </c>
      <c r="B104" s="10" t="s">
        <v>6</v>
      </c>
      <c r="C104" s="10"/>
      <c r="E104" s="90"/>
      <c r="F104" s="90"/>
      <c r="G104" s="96">
        <f>G114</f>
        <v>524179782</v>
      </c>
      <c r="I104" s="60">
        <v>562419691</v>
      </c>
    </row>
    <row r="105" spans="1:10" ht="15.75" thickTop="1">
      <c r="B105" s="10"/>
      <c r="C105" s="10"/>
      <c r="E105" s="90"/>
      <c r="F105" s="90"/>
    </row>
    <row r="106" spans="1:10" ht="15.75" customHeight="1">
      <c r="B106" s="808" t="s">
        <v>92</v>
      </c>
      <c r="C106" s="808"/>
      <c r="D106" s="808"/>
      <c r="E106" s="808"/>
      <c r="F106" s="808"/>
      <c r="G106" s="808"/>
      <c r="H106" s="808"/>
      <c r="I106" s="808"/>
      <c r="J106" s="22"/>
    </row>
    <row r="107" spans="1:10">
      <c r="B107" s="808"/>
      <c r="C107" s="808"/>
      <c r="D107" s="808"/>
      <c r="E107" s="808"/>
      <c r="F107" s="808"/>
      <c r="G107" s="808"/>
      <c r="H107" s="808"/>
      <c r="I107" s="808"/>
      <c r="J107" s="22"/>
    </row>
    <row r="108" spans="1:10">
      <c r="B108" s="808"/>
      <c r="C108" s="808"/>
      <c r="D108" s="808"/>
      <c r="E108" s="808"/>
      <c r="F108" s="808"/>
      <c r="G108" s="808"/>
      <c r="H108" s="808"/>
      <c r="I108" s="808"/>
      <c r="J108" s="22"/>
    </row>
    <row r="109" spans="1:10">
      <c r="B109" s="808"/>
      <c r="C109" s="808"/>
      <c r="D109" s="808"/>
      <c r="E109" s="808"/>
      <c r="F109" s="808"/>
      <c r="G109" s="808"/>
      <c r="H109" s="808"/>
      <c r="I109" s="808"/>
      <c r="J109" s="22"/>
    </row>
    <row r="110" spans="1:10">
      <c r="B110" s="10"/>
      <c r="C110" s="10"/>
      <c r="E110" s="25"/>
      <c r="F110" s="25"/>
      <c r="G110" s="7"/>
      <c r="H110" s="97"/>
      <c r="I110" s="7"/>
      <c r="J110" s="22"/>
    </row>
    <row r="111" spans="1:10">
      <c r="B111" s="10" t="s">
        <v>93</v>
      </c>
      <c r="C111" s="98"/>
      <c r="E111" s="25"/>
      <c r="F111" s="25"/>
      <c r="G111" s="99"/>
      <c r="H111" s="22"/>
      <c r="I111" s="99"/>
      <c r="J111" s="22"/>
    </row>
    <row r="112" spans="1:10">
      <c r="B112" s="100"/>
      <c r="C112" s="100"/>
      <c r="E112" s="25"/>
      <c r="F112" s="25"/>
      <c r="G112" s="25"/>
      <c r="H112" s="22"/>
      <c r="I112" s="22"/>
      <c r="J112" s="22"/>
    </row>
    <row r="113" spans="2:10">
      <c r="B113" s="100"/>
      <c r="C113" s="10" t="s">
        <v>94</v>
      </c>
      <c r="E113" s="25"/>
      <c r="F113" s="25"/>
      <c r="G113" s="25">
        <v>256748532</v>
      </c>
      <c r="H113" s="22"/>
      <c r="I113" s="25">
        <v>224968689</v>
      </c>
      <c r="J113" s="22"/>
    </row>
    <row r="114" spans="2:10">
      <c r="B114" s="100"/>
      <c r="C114" s="10" t="s">
        <v>95</v>
      </c>
      <c r="E114" s="25"/>
      <c r="F114" s="25"/>
      <c r="G114" s="101">
        <f>495951320+28014158+214304</f>
        <v>524179782</v>
      </c>
      <c r="H114" s="22"/>
      <c r="I114" s="36">
        <v>562419691</v>
      </c>
      <c r="J114" s="22"/>
    </row>
    <row r="115" spans="2:10" ht="15.75" thickBot="1">
      <c r="B115" s="61"/>
      <c r="C115" s="61"/>
      <c r="D115" s="61"/>
      <c r="E115" s="61"/>
      <c r="F115" s="61"/>
      <c r="G115" s="102">
        <f>SUM(G113:G114)</f>
        <v>780928314</v>
      </c>
      <c r="H115" s="61"/>
      <c r="I115" s="103">
        <f>SUM(I113:I114)</f>
        <v>787388380</v>
      </c>
      <c r="J115" s="61"/>
    </row>
    <row r="116" spans="2:10" ht="15.75" thickTop="1">
      <c r="B116" s="61"/>
      <c r="C116" s="61"/>
      <c r="D116" s="61"/>
      <c r="E116" s="61"/>
      <c r="F116" s="61"/>
      <c r="G116" s="104"/>
      <c r="H116" s="61"/>
      <c r="I116" s="105"/>
      <c r="J116" s="61"/>
    </row>
    <row r="117" spans="2:10" ht="15.75" customHeight="1">
      <c r="B117" s="808" t="s">
        <v>96</v>
      </c>
      <c r="C117" s="808"/>
      <c r="D117" s="808"/>
      <c r="E117" s="808"/>
      <c r="F117" s="808"/>
      <c r="G117" s="808"/>
      <c r="H117" s="808"/>
      <c r="I117" s="808"/>
      <c r="J117" s="61"/>
    </row>
    <row r="118" spans="2:10">
      <c r="B118" s="808"/>
      <c r="C118" s="808"/>
      <c r="D118" s="808"/>
      <c r="E118" s="808"/>
      <c r="F118" s="808"/>
      <c r="G118" s="808"/>
      <c r="H118" s="808"/>
      <c r="I118" s="808"/>
      <c r="J118" s="61"/>
    </row>
    <row r="119" spans="2:10">
      <c r="B119" s="61"/>
      <c r="C119" s="61"/>
      <c r="D119" s="106"/>
      <c r="E119" s="106"/>
      <c r="F119" s="106"/>
      <c r="G119" s="106"/>
      <c r="H119" s="106"/>
      <c r="I119" s="106"/>
      <c r="J119" s="61"/>
    </row>
    <row r="120" spans="2:10">
      <c r="B120" s="61"/>
      <c r="C120" s="61"/>
      <c r="D120" s="106"/>
      <c r="E120" s="106"/>
      <c r="F120" s="106"/>
      <c r="G120" s="106"/>
      <c r="H120" s="106"/>
      <c r="I120" s="106"/>
      <c r="J120" s="61"/>
    </row>
    <row r="121" spans="2:10">
      <c r="B121" s="61"/>
      <c r="C121" s="61"/>
      <c r="D121" s="106"/>
      <c r="E121" s="106"/>
      <c r="F121" s="106"/>
      <c r="G121" s="106"/>
      <c r="H121" s="106"/>
      <c r="I121" s="106"/>
      <c r="J121" s="61"/>
    </row>
    <row r="122" spans="2:10">
      <c r="B122" s="61"/>
      <c r="C122" s="61"/>
      <c r="D122" s="106"/>
      <c r="E122" s="106"/>
      <c r="F122" s="106"/>
      <c r="G122" s="106"/>
      <c r="H122" s="106"/>
      <c r="I122" s="106"/>
      <c r="J122" s="61"/>
    </row>
    <row r="123" spans="2:10">
      <c r="B123" s="61"/>
      <c r="C123" s="61"/>
      <c r="D123" s="106"/>
      <c r="E123" s="106"/>
      <c r="F123" s="106"/>
      <c r="G123" s="106"/>
      <c r="H123" s="106"/>
      <c r="I123" s="106"/>
      <c r="J123" s="61"/>
    </row>
    <row r="124" spans="2:10">
      <c r="B124" s="61"/>
      <c r="C124" s="61"/>
      <c r="D124" s="106"/>
      <c r="E124" s="106"/>
      <c r="F124" s="106"/>
      <c r="G124" s="106"/>
      <c r="H124" s="106"/>
      <c r="I124" s="106"/>
      <c r="J124" s="61"/>
    </row>
    <row r="125" spans="2:10">
      <c r="B125" s="61"/>
      <c r="C125" s="61"/>
      <c r="D125" s="106"/>
      <c r="E125" s="106"/>
      <c r="F125" s="106"/>
      <c r="G125" s="106"/>
      <c r="H125" s="106"/>
      <c r="I125" s="106"/>
      <c r="J125" s="61"/>
    </row>
    <row r="126" spans="2:10">
      <c r="B126" s="61"/>
      <c r="C126" s="61"/>
      <c r="D126" s="106"/>
      <c r="E126" s="106"/>
      <c r="F126" s="106"/>
      <c r="G126" s="106"/>
      <c r="H126" s="106"/>
      <c r="I126" s="106"/>
      <c r="J126" s="61"/>
    </row>
    <row r="127" spans="2:10">
      <c r="B127" s="61"/>
      <c r="C127" s="61"/>
      <c r="D127" s="106"/>
      <c r="E127" s="106"/>
      <c r="F127" s="106"/>
      <c r="G127" s="106"/>
      <c r="H127" s="106"/>
      <c r="I127" s="106"/>
      <c r="J127" s="61"/>
    </row>
    <row r="128" spans="2:10">
      <c r="B128" s="61"/>
      <c r="C128" s="61"/>
      <c r="D128" s="106"/>
      <c r="E128" s="106"/>
      <c r="F128" s="106"/>
      <c r="G128" s="106"/>
      <c r="H128" s="106"/>
      <c r="I128" s="106"/>
      <c r="J128" s="61"/>
    </row>
    <row r="129" spans="1:10">
      <c r="B129" s="61"/>
      <c r="C129" s="61"/>
      <c r="D129" s="106"/>
      <c r="E129" s="106"/>
      <c r="F129" s="106"/>
      <c r="G129" s="106"/>
      <c r="H129" s="106"/>
      <c r="I129" s="106"/>
      <c r="J129" s="61"/>
    </row>
    <row r="130" spans="1:10">
      <c r="B130" s="61"/>
      <c r="C130" s="61"/>
      <c r="D130" s="106"/>
      <c r="E130" s="106"/>
      <c r="F130" s="106"/>
      <c r="G130" s="106"/>
      <c r="H130" s="106"/>
      <c r="I130" s="106"/>
      <c r="J130" s="61"/>
    </row>
    <row r="131" spans="1:10">
      <c r="B131" s="61"/>
      <c r="C131" s="61"/>
      <c r="D131" s="106"/>
      <c r="E131" s="106"/>
      <c r="F131" s="106"/>
      <c r="G131" s="106"/>
      <c r="H131" s="106"/>
      <c r="I131" s="106"/>
      <c r="J131" s="61"/>
    </row>
    <row r="132" spans="1:10">
      <c r="B132" s="61"/>
      <c r="C132" s="61"/>
      <c r="D132" s="106"/>
      <c r="E132" s="106"/>
      <c r="F132" s="106"/>
      <c r="G132" s="106"/>
      <c r="H132" s="106"/>
      <c r="I132" s="106"/>
      <c r="J132" s="61"/>
    </row>
    <row r="133" spans="1:10">
      <c r="B133" s="61"/>
      <c r="C133" s="61"/>
      <c r="D133" s="106"/>
      <c r="E133" s="106"/>
      <c r="F133" s="106"/>
      <c r="G133" s="106"/>
      <c r="H133" s="106"/>
      <c r="I133" s="106"/>
      <c r="J133" s="61"/>
    </row>
    <row r="134" spans="1:10">
      <c r="B134" s="61"/>
      <c r="C134" s="61"/>
      <c r="D134" s="106"/>
      <c r="E134" s="106"/>
      <c r="F134" s="106"/>
      <c r="G134" s="106"/>
      <c r="H134" s="106"/>
      <c r="I134" s="106"/>
      <c r="J134" s="61"/>
    </row>
    <row r="135" spans="1:10">
      <c r="B135" s="61"/>
      <c r="C135" s="61"/>
      <c r="D135" s="106"/>
      <c r="E135" s="106"/>
      <c r="F135" s="106"/>
      <c r="G135" s="106"/>
      <c r="H135" s="106"/>
      <c r="I135" s="106"/>
      <c r="J135" s="61"/>
    </row>
    <row r="136" spans="1:10">
      <c r="B136" s="61"/>
      <c r="C136" s="61"/>
      <c r="D136" s="106"/>
      <c r="E136" s="106"/>
      <c r="F136" s="106"/>
      <c r="G136" s="106"/>
      <c r="H136" s="106"/>
      <c r="I136" s="106"/>
      <c r="J136" s="61"/>
    </row>
    <row r="137" spans="1:10">
      <c r="B137" s="61"/>
      <c r="C137" s="61"/>
      <c r="D137" s="106"/>
      <c r="E137" s="106"/>
      <c r="F137" s="106"/>
      <c r="G137" s="106"/>
      <c r="H137" s="106"/>
      <c r="I137" s="106"/>
      <c r="J137" s="61"/>
    </row>
    <row r="138" spans="1:10">
      <c r="B138" s="61"/>
      <c r="C138" s="61"/>
      <c r="D138" s="106"/>
      <c r="E138" s="106"/>
      <c r="F138" s="106"/>
      <c r="G138" s="106"/>
      <c r="H138" s="106"/>
      <c r="I138" s="106"/>
      <c r="J138" s="61"/>
    </row>
    <row r="139" spans="1:10">
      <c r="B139" s="61"/>
      <c r="C139" s="61"/>
      <c r="D139" s="106"/>
      <c r="E139" s="106"/>
      <c r="F139" s="106"/>
      <c r="G139" s="106"/>
      <c r="H139" s="106"/>
      <c r="I139" s="106"/>
      <c r="J139" s="61"/>
    </row>
    <row r="140" spans="1:10">
      <c r="B140" s="61"/>
      <c r="C140" s="61"/>
      <c r="D140" s="106"/>
      <c r="E140" s="106"/>
      <c r="F140" s="106"/>
      <c r="G140" s="106"/>
      <c r="H140" s="106"/>
      <c r="I140" s="106"/>
      <c r="J140" s="61"/>
    </row>
    <row r="141" spans="1:10">
      <c r="B141" s="61"/>
      <c r="C141" s="61"/>
      <c r="D141" s="106"/>
      <c r="E141" s="106"/>
      <c r="F141" s="106"/>
      <c r="G141" s="106"/>
      <c r="H141" s="106"/>
      <c r="I141" s="106"/>
      <c r="J141" s="61"/>
    </row>
    <row r="142" spans="1:10">
      <c r="A142" s="52">
        <v>7</v>
      </c>
      <c r="B142" s="10" t="s">
        <v>7</v>
      </c>
      <c r="C142" s="61"/>
      <c r="D142" s="106"/>
      <c r="E142" s="106"/>
      <c r="F142" s="106"/>
      <c r="G142" s="106"/>
      <c r="H142" s="106"/>
      <c r="I142" s="106"/>
      <c r="J142" s="61"/>
    </row>
    <row r="143" spans="1:10">
      <c r="B143" s="10"/>
      <c r="C143" s="61"/>
      <c r="D143" s="106"/>
      <c r="E143" s="106"/>
      <c r="F143" s="106"/>
      <c r="G143" s="106"/>
      <c r="H143" s="106"/>
      <c r="I143" s="106"/>
      <c r="J143" s="61"/>
    </row>
    <row r="144" spans="1:10" ht="15.75" customHeight="1">
      <c r="B144" s="808" t="s">
        <v>97</v>
      </c>
      <c r="C144" s="808"/>
      <c r="D144" s="808"/>
      <c r="E144" s="808"/>
      <c r="F144" s="808"/>
      <c r="G144" s="808"/>
      <c r="H144" s="808"/>
      <c r="I144" s="808"/>
      <c r="J144" s="61"/>
    </row>
    <row r="145" spans="2:10">
      <c r="B145" s="808"/>
      <c r="C145" s="808"/>
      <c r="D145" s="808"/>
      <c r="E145" s="808"/>
      <c r="F145" s="808"/>
      <c r="G145" s="808"/>
      <c r="H145" s="808"/>
      <c r="I145" s="808"/>
      <c r="J145" s="61"/>
    </row>
    <row r="146" spans="2:10">
      <c r="B146" s="808"/>
      <c r="C146" s="808"/>
      <c r="D146" s="808"/>
      <c r="E146" s="808"/>
      <c r="F146" s="808"/>
      <c r="G146" s="808"/>
      <c r="H146" s="808"/>
      <c r="I146" s="808"/>
      <c r="J146" s="61"/>
    </row>
    <row r="147" spans="2:10">
      <c r="B147" s="61"/>
      <c r="C147" s="61"/>
      <c r="D147" s="106"/>
      <c r="E147" s="106"/>
      <c r="F147" s="106"/>
      <c r="G147" s="106"/>
      <c r="H147" s="106"/>
      <c r="I147" s="106"/>
      <c r="J147" s="61"/>
    </row>
    <row r="148" spans="2:10">
      <c r="B148" s="1" t="s">
        <v>98</v>
      </c>
      <c r="C148" s="61"/>
      <c r="D148" s="106"/>
      <c r="F148" s="106"/>
      <c r="G148" s="106"/>
      <c r="H148" s="106"/>
      <c r="I148" s="107" t="s">
        <v>99</v>
      </c>
      <c r="J148" s="61"/>
    </row>
    <row r="149" spans="2:10">
      <c r="B149" s="61"/>
      <c r="C149" s="61"/>
      <c r="D149" s="106"/>
      <c r="E149" s="108" t="s">
        <v>100</v>
      </c>
      <c r="F149" s="106"/>
      <c r="H149" s="106"/>
      <c r="I149" s="107" t="s">
        <v>101</v>
      </c>
      <c r="J149" s="61"/>
    </row>
    <row r="150" spans="2:10">
      <c r="B150" s="61"/>
      <c r="C150" s="61"/>
      <c r="D150" s="106"/>
      <c r="E150" s="49" t="s">
        <v>102</v>
      </c>
      <c r="F150" s="106"/>
      <c r="G150" s="109" t="s">
        <v>103</v>
      </c>
      <c r="H150" s="106"/>
      <c r="I150" s="107" t="s">
        <v>104</v>
      </c>
      <c r="J150" s="61"/>
    </row>
    <row r="151" spans="2:10">
      <c r="B151" s="110" t="s">
        <v>105</v>
      </c>
      <c r="C151" s="10"/>
      <c r="E151" s="23" t="s">
        <v>106</v>
      </c>
      <c r="F151" s="808" t="s">
        <v>1</v>
      </c>
      <c r="G151" s="808"/>
      <c r="H151" s="808"/>
      <c r="I151" s="109" t="s">
        <v>1</v>
      </c>
      <c r="J151" s="61"/>
    </row>
    <row r="152" spans="2:10">
      <c r="B152" s="110"/>
      <c r="C152" s="10"/>
      <c r="F152" s="808"/>
      <c r="G152" s="808"/>
      <c r="H152" s="808"/>
      <c r="I152" s="22"/>
      <c r="J152" s="61"/>
    </row>
    <row r="153" spans="2:10">
      <c r="B153" s="110" t="s">
        <v>107</v>
      </c>
      <c r="C153" s="4"/>
      <c r="D153" s="1"/>
      <c r="F153" s="111"/>
      <c r="G153" s="111"/>
      <c r="H153" s="111"/>
      <c r="I153" s="9">
        <f>E153-G153</f>
        <v>0</v>
      </c>
      <c r="J153" s="61"/>
    </row>
    <row r="154" spans="2:10">
      <c r="B154" s="110" t="s">
        <v>108</v>
      </c>
      <c r="C154" s="4"/>
      <c r="D154" s="1"/>
      <c r="E154" s="1"/>
      <c r="F154" s="112"/>
      <c r="G154" s="110"/>
      <c r="H154" s="1"/>
      <c r="I154" s="113">
        <v>0.375</v>
      </c>
      <c r="J154" s="61"/>
    </row>
    <row r="155" spans="2:10" ht="15.75" thickBot="1">
      <c r="B155" s="110" t="s">
        <v>109</v>
      </c>
      <c r="C155" s="4"/>
      <c r="D155" s="1"/>
      <c r="E155" s="1"/>
      <c r="F155" s="112"/>
      <c r="G155" s="110"/>
      <c r="H155" s="1"/>
      <c r="I155" s="114">
        <f>I153*I154</f>
        <v>0</v>
      </c>
      <c r="J155" s="61"/>
    </row>
    <row r="156" spans="2:10" ht="15.75" thickTop="1">
      <c r="B156" s="110"/>
      <c r="C156" s="4"/>
      <c r="D156" s="1"/>
      <c r="E156" s="1"/>
      <c r="F156" s="112"/>
      <c r="G156" s="110"/>
      <c r="H156" s="1"/>
      <c r="I156" s="9"/>
      <c r="J156" s="61"/>
    </row>
    <row r="157" spans="2:10">
      <c r="B157" s="110"/>
      <c r="C157" s="4"/>
      <c r="D157" s="1"/>
      <c r="E157" s="1"/>
      <c r="F157" s="112"/>
      <c r="G157" s="110"/>
      <c r="H157" s="1"/>
      <c r="I157" s="9"/>
      <c r="J157" s="61"/>
    </row>
    <row r="158" spans="2:10">
      <c r="G158" s="808"/>
      <c r="H158" s="808"/>
      <c r="I158" s="808"/>
      <c r="J158" s="22"/>
    </row>
    <row r="159" spans="2:10">
      <c r="C159" s="110" t="s">
        <v>110</v>
      </c>
      <c r="D159" s="10"/>
      <c r="F159" s="106"/>
      <c r="G159" s="106"/>
      <c r="H159" s="106"/>
      <c r="I159" s="107" t="s">
        <v>99</v>
      </c>
      <c r="J159" s="22"/>
    </row>
    <row r="160" spans="2:10">
      <c r="C160" s="110"/>
      <c r="D160" s="10"/>
      <c r="E160" s="108" t="s">
        <v>100</v>
      </c>
      <c r="F160" s="106"/>
      <c r="H160" s="106"/>
      <c r="I160" s="107" t="s">
        <v>101</v>
      </c>
      <c r="J160" s="22"/>
    </row>
    <row r="161" spans="1:10">
      <c r="C161" s="110"/>
      <c r="D161" s="4"/>
      <c r="E161" s="49" t="s">
        <v>102</v>
      </c>
      <c r="F161" s="106"/>
      <c r="G161" s="109" t="s">
        <v>103</v>
      </c>
      <c r="H161" s="106"/>
      <c r="I161" s="107" t="s">
        <v>104</v>
      </c>
      <c r="J161" s="1"/>
    </row>
    <row r="162" spans="1:10">
      <c r="C162" s="110"/>
      <c r="D162" s="4"/>
      <c r="E162" s="23" t="s">
        <v>106</v>
      </c>
      <c r="F162" s="808" t="s">
        <v>1</v>
      </c>
      <c r="G162" s="808"/>
      <c r="H162" s="808"/>
      <c r="I162" s="109" t="s">
        <v>1</v>
      </c>
      <c r="J162" s="1"/>
    </row>
    <row r="163" spans="1:10">
      <c r="C163" s="110"/>
      <c r="D163" s="4"/>
      <c r="E163" s="23"/>
      <c r="F163" s="109"/>
      <c r="G163" s="109"/>
      <c r="H163" s="109"/>
      <c r="I163" s="109"/>
      <c r="J163" s="1"/>
    </row>
    <row r="164" spans="1:10">
      <c r="C164" s="110" t="s">
        <v>111</v>
      </c>
      <c r="D164" s="1"/>
      <c r="E164" s="1"/>
      <c r="F164" s="112"/>
      <c r="G164" s="7"/>
      <c r="H164" s="1"/>
      <c r="I164" s="9">
        <f>E164-G164</f>
        <v>0</v>
      </c>
      <c r="J164" s="1"/>
    </row>
    <row r="165" spans="1:10">
      <c r="C165" s="110" t="s">
        <v>108</v>
      </c>
      <c r="D165" s="1"/>
      <c r="E165" s="1"/>
      <c r="F165" s="112"/>
      <c r="G165" s="110"/>
      <c r="H165" s="1"/>
      <c r="I165" s="97">
        <v>0.375</v>
      </c>
      <c r="J165" s="1"/>
    </row>
    <row r="166" spans="1:10" ht="15.75" thickBot="1">
      <c r="B166" s="110"/>
      <c r="C166" s="110" t="s">
        <v>112</v>
      </c>
      <c r="D166" s="1"/>
      <c r="E166" s="1"/>
      <c r="F166" s="112"/>
      <c r="G166" s="110"/>
      <c r="H166" s="1"/>
      <c r="I166" s="114">
        <f>I164*I165</f>
        <v>0</v>
      </c>
      <c r="J166" s="61"/>
    </row>
    <row r="167" spans="1:10" ht="15.75" thickTop="1">
      <c r="B167" s="110"/>
      <c r="J167" s="61"/>
    </row>
    <row r="168" spans="1:10">
      <c r="B168" s="110"/>
      <c r="J168" s="61"/>
    </row>
    <row r="169" spans="1:10">
      <c r="B169" s="110"/>
      <c r="C169" s="4"/>
      <c r="D169" s="1"/>
      <c r="E169" s="1"/>
      <c r="F169" s="112"/>
      <c r="G169" s="110"/>
      <c r="H169" s="1"/>
      <c r="I169" s="9"/>
      <c r="J169" s="61"/>
    </row>
    <row r="170" spans="1:10">
      <c r="B170" s="110"/>
      <c r="C170" s="4"/>
      <c r="D170" s="1"/>
      <c r="E170" s="1"/>
      <c r="F170" s="112"/>
      <c r="G170" s="56" t="s">
        <v>51</v>
      </c>
      <c r="H170" s="52"/>
      <c r="I170" s="56" t="s">
        <v>52</v>
      </c>
      <c r="J170" s="61"/>
    </row>
    <row r="171" spans="1:10">
      <c r="A171" s="52">
        <v>8</v>
      </c>
      <c r="B171" s="4" t="s">
        <v>8</v>
      </c>
      <c r="C171" s="10"/>
      <c r="E171" s="25"/>
      <c r="F171" s="115"/>
      <c r="G171" s="116" t="s">
        <v>1</v>
      </c>
      <c r="H171" s="22"/>
      <c r="I171" s="116" t="s">
        <v>1</v>
      </c>
    </row>
    <row r="172" spans="1:10">
      <c r="B172" s="4"/>
      <c r="C172" s="10"/>
      <c r="E172" s="25"/>
      <c r="F172" s="115"/>
      <c r="G172" s="1"/>
      <c r="H172" s="1"/>
      <c r="I172" s="1"/>
    </row>
    <row r="173" spans="1:10">
      <c r="B173" s="10" t="s">
        <v>113</v>
      </c>
      <c r="E173" s="25"/>
      <c r="F173" s="115"/>
      <c r="G173" s="1">
        <f>4438931+2095954</f>
        <v>6534885</v>
      </c>
      <c r="H173" s="1"/>
      <c r="I173" s="117">
        <v>4438931</v>
      </c>
    </row>
    <row r="174" spans="1:10">
      <c r="B174" s="10" t="s">
        <v>114</v>
      </c>
      <c r="E174" s="25"/>
      <c r="F174" s="25"/>
      <c r="G174" s="1">
        <v>4191908</v>
      </c>
      <c r="H174" s="1"/>
      <c r="I174" s="117">
        <v>4191908</v>
      </c>
    </row>
    <row r="175" spans="1:10">
      <c r="B175" s="10" t="s">
        <v>115</v>
      </c>
      <c r="E175" s="25"/>
      <c r="F175" s="25"/>
      <c r="G175" s="1">
        <v>1001383</v>
      </c>
      <c r="H175" s="1"/>
      <c r="I175" s="117">
        <v>1001383</v>
      </c>
    </row>
    <row r="176" spans="1:10">
      <c r="B176" s="2" t="s">
        <v>116</v>
      </c>
      <c r="E176" s="25"/>
      <c r="F176" s="25"/>
      <c r="G176" s="1">
        <f>2025954+1012977</f>
        <v>3038931</v>
      </c>
      <c r="H176" s="1"/>
      <c r="I176" s="117">
        <v>2025954</v>
      </c>
    </row>
    <row r="177" spans="1:9">
      <c r="B177" s="2" t="s">
        <v>117</v>
      </c>
      <c r="E177" s="25"/>
      <c r="F177" s="25"/>
      <c r="G177" s="1">
        <v>6913200</v>
      </c>
      <c r="H177" s="1"/>
      <c r="I177" s="117">
        <v>6913200</v>
      </c>
    </row>
    <row r="178" spans="1:9" ht="15.75" thickBot="1">
      <c r="G178" s="33">
        <f>SUM(G173:G177)</f>
        <v>21680307</v>
      </c>
      <c r="H178" s="1"/>
      <c r="I178" s="33">
        <f>SUM(I173:I177)</f>
        <v>18571376</v>
      </c>
    </row>
    <row r="179" spans="1:9" ht="15.75" thickTop="1">
      <c r="I179" s="23"/>
    </row>
    <row r="180" spans="1:9" ht="15.75" customHeight="1">
      <c r="B180" s="808" t="s">
        <v>118</v>
      </c>
      <c r="C180" s="808"/>
      <c r="D180" s="808"/>
      <c r="E180" s="808"/>
      <c r="F180" s="808"/>
      <c r="G180" s="808"/>
      <c r="H180" s="808"/>
      <c r="I180" s="808"/>
    </row>
    <row r="181" spans="1:9">
      <c r="B181" s="808"/>
      <c r="C181" s="808"/>
      <c r="D181" s="808"/>
      <c r="E181" s="808"/>
      <c r="F181" s="808"/>
      <c r="G181" s="808"/>
      <c r="H181" s="808"/>
      <c r="I181" s="808"/>
    </row>
    <row r="182" spans="1:9">
      <c r="B182" s="61"/>
      <c r="C182" s="61"/>
      <c r="D182" s="61"/>
      <c r="E182" s="61"/>
      <c r="F182" s="61"/>
      <c r="G182" s="61"/>
      <c r="H182" s="61"/>
      <c r="I182" s="61"/>
    </row>
    <row r="183" spans="1:9" ht="15.75" thickBot="1">
      <c r="A183" s="52">
        <f>A171+1</f>
        <v>9</v>
      </c>
      <c r="B183" s="2" t="s">
        <v>119</v>
      </c>
      <c r="G183" s="60">
        <v>13808952</v>
      </c>
      <c r="I183" s="60">
        <v>15158836</v>
      </c>
    </row>
    <row r="184" spans="1:9" ht="15.75" thickTop="1"/>
    <row r="185" spans="1:9" ht="15.75" customHeight="1">
      <c r="B185" s="808" t="s">
        <v>120</v>
      </c>
      <c r="C185" s="808"/>
      <c r="D185" s="808"/>
      <c r="E185" s="808"/>
      <c r="F185" s="808"/>
      <c r="G185" s="808"/>
      <c r="H185" s="808"/>
      <c r="I185" s="808"/>
    </row>
    <row r="186" spans="1:9">
      <c r="B186" s="808"/>
      <c r="C186" s="808"/>
      <c r="D186" s="808"/>
      <c r="E186" s="808"/>
      <c r="F186" s="808"/>
      <c r="G186" s="808"/>
      <c r="H186" s="808"/>
      <c r="I186" s="808"/>
    </row>
    <row r="187" spans="1:9">
      <c r="B187" s="808"/>
      <c r="C187" s="808"/>
      <c r="D187" s="808"/>
      <c r="E187" s="808"/>
      <c r="F187" s="808"/>
      <c r="G187" s="808"/>
      <c r="H187" s="808"/>
      <c r="I187" s="808"/>
    </row>
    <row r="188" spans="1:9">
      <c r="B188" s="808"/>
      <c r="C188" s="808"/>
      <c r="D188" s="808"/>
      <c r="E188" s="808"/>
      <c r="F188" s="808"/>
      <c r="G188" s="808"/>
      <c r="H188" s="808"/>
      <c r="I188" s="808"/>
    </row>
    <row r="189" spans="1:9">
      <c r="B189" s="808"/>
      <c r="C189" s="808"/>
      <c r="D189" s="808"/>
      <c r="E189" s="808"/>
      <c r="F189" s="808"/>
      <c r="G189" s="808"/>
      <c r="H189" s="808"/>
      <c r="I189" s="808"/>
    </row>
    <row r="204" spans="2:10">
      <c r="B204" s="10" t="s">
        <v>121</v>
      </c>
      <c r="C204" s="10"/>
      <c r="E204" s="25"/>
      <c r="F204" s="118"/>
      <c r="G204" s="25"/>
      <c r="H204" s="22"/>
      <c r="I204" s="22"/>
      <c r="J204" s="22"/>
    </row>
    <row r="205" spans="2:10">
      <c r="B205" s="10"/>
      <c r="C205" s="10"/>
      <c r="E205" s="25"/>
      <c r="F205" s="118"/>
      <c r="G205" s="25"/>
      <c r="H205" s="22"/>
      <c r="I205" s="22"/>
      <c r="J205" s="22"/>
    </row>
    <row r="206" spans="2:10">
      <c r="B206" s="10" t="s">
        <v>122</v>
      </c>
      <c r="C206" s="10"/>
      <c r="D206" s="27" t="s">
        <v>123</v>
      </c>
      <c r="E206" s="90" t="s">
        <v>124</v>
      </c>
      <c r="F206" s="118"/>
      <c r="G206" s="90" t="s">
        <v>125</v>
      </c>
      <c r="H206" s="22"/>
      <c r="I206" s="99" t="s">
        <v>126</v>
      </c>
      <c r="J206" s="22"/>
    </row>
    <row r="207" spans="2:10">
      <c r="B207" s="10"/>
      <c r="C207" s="10"/>
      <c r="E207" s="25"/>
      <c r="F207" s="118"/>
      <c r="G207" s="25"/>
      <c r="H207" s="22"/>
      <c r="I207" s="22"/>
      <c r="J207" s="22"/>
    </row>
    <row r="208" spans="2:10">
      <c r="B208" s="10"/>
      <c r="C208" s="59" t="s">
        <v>127</v>
      </c>
      <c r="D208" s="52" t="s">
        <v>128</v>
      </c>
      <c r="E208" s="90">
        <f>45885666.65*43.37%</f>
        <v>19900613.626104999</v>
      </c>
      <c r="F208" s="118"/>
      <c r="G208" s="90" t="s">
        <v>129</v>
      </c>
      <c r="H208" s="22"/>
      <c r="I208" s="119">
        <f>0.0271375+0.024</f>
        <v>5.1137500000000002E-2</v>
      </c>
      <c r="J208" s="22"/>
    </row>
    <row r="209" spans="1:10">
      <c r="B209" s="10"/>
      <c r="C209" s="10"/>
      <c r="E209" s="25"/>
      <c r="F209" s="118"/>
      <c r="G209" s="25"/>
      <c r="H209" s="22"/>
      <c r="I209" s="22"/>
      <c r="J209" s="22"/>
    </row>
    <row r="210" spans="1:10">
      <c r="B210" s="10" t="s">
        <v>130</v>
      </c>
      <c r="C210" s="10"/>
      <c r="E210" s="25"/>
      <c r="F210" s="120"/>
      <c r="G210" s="25"/>
      <c r="H210" s="99"/>
      <c r="J210" s="99"/>
    </row>
    <row r="211" spans="1:10">
      <c r="B211" s="10"/>
      <c r="C211" s="10"/>
      <c r="E211" s="25"/>
      <c r="F211" s="121"/>
      <c r="G211" s="25"/>
      <c r="H211" s="22"/>
      <c r="I211" s="22"/>
      <c r="J211" s="22"/>
    </row>
    <row r="212" spans="1:10" ht="15.75" customHeight="1">
      <c r="B212" s="808" t="s">
        <v>131</v>
      </c>
      <c r="C212" s="808"/>
      <c r="D212" s="808"/>
      <c r="E212" s="808"/>
      <c r="F212" s="808"/>
      <c r="G212" s="808"/>
      <c r="H212" s="808"/>
      <c r="I212" s="808"/>
      <c r="J212" s="22"/>
    </row>
    <row r="213" spans="1:10">
      <c r="B213" s="808"/>
      <c r="C213" s="808"/>
      <c r="D213" s="808"/>
      <c r="E213" s="808"/>
      <c r="F213" s="808"/>
      <c r="G213" s="808"/>
      <c r="H213" s="808"/>
      <c r="I213" s="808"/>
      <c r="J213" s="22"/>
    </row>
    <row r="214" spans="1:10">
      <c r="B214" s="61"/>
      <c r="C214" s="61"/>
      <c r="D214" s="61"/>
      <c r="E214" s="61"/>
      <c r="F214" s="61"/>
      <c r="G214" s="61"/>
      <c r="H214" s="61"/>
      <c r="I214" s="61"/>
      <c r="J214" s="22"/>
    </row>
    <row r="216" spans="1:10">
      <c r="A216" s="59"/>
      <c r="B216" s="4" t="s">
        <v>132</v>
      </c>
      <c r="C216" s="63"/>
      <c r="D216" s="61"/>
      <c r="E216" s="61"/>
      <c r="F216" s="61"/>
      <c r="G216" s="22"/>
      <c r="H216" s="22"/>
    </row>
    <row r="217" spans="1:10">
      <c r="A217" s="59"/>
      <c r="B217" s="4"/>
      <c r="C217" s="63"/>
      <c r="D217" s="61"/>
      <c r="E217" s="61"/>
      <c r="F217" s="61"/>
      <c r="G217" s="22"/>
      <c r="H217" s="22"/>
    </row>
    <row r="218" spans="1:10">
      <c r="A218" s="59"/>
      <c r="B218" s="4"/>
      <c r="C218" s="110" t="s">
        <v>133</v>
      </c>
      <c r="D218" s="61"/>
      <c r="E218" s="110" t="s">
        <v>134</v>
      </c>
      <c r="F218" s="61"/>
      <c r="G218" s="111" t="s">
        <v>135</v>
      </c>
      <c r="H218" s="22"/>
      <c r="I218" s="122" t="s">
        <v>136</v>
      </c>
    </row>
    <row r="219" spans="1:10">
      <c r="A219" s="59"/>
      <c r="B219" s="4"/>
      <c r="C219" s="63"/>
      <c r="D219" s="61"/>
      <c r="E219" s="61"/>
      <c r="F219" s="61"/>
      <c r="G219" s="22"/>
      <c r="H219" s="22"/>
    </row>
    <row r="220" spans="1:10">
      <c r="A220" s="59"/>
      <c r="B220" s="4"/>
      <c r="C220" s="63"/>
      <c r="D220" s="61"/>
      <c r="E220" s="61"/>
      <c r="F220" s="61"/>
      <c r="G220" s="22"/>
      <c r="H220" s="22"/>
    </row>
    <row r="221" spans="1:10">
      <c r="A221" s="59"/>
      <c r="B221" s="4"/>
      <c r="C221" s="63"/>
      <c r="D221" s="61"/>
      <c r="E221" s="61"/>
      <c r="F221" s="61"/>
      <c r="G221" s="22"/>
      <c r="H221" s="22"/>
    </row>
    <row r="222" spans="1:10">
      <c r="A222" s="59"/>
      <c r="B222" s="4"/>
      <c r="C222" s="63"/>
      <c r="D222" s="61"/>
      <c r="E222" s="61"/>
      <c r="F222" s="61"/>
      <c r="G222" s="22"/>
      <c r="H222" s="22"/>
    </row>
    <row r="223" spans="1:10">
      <c r="A223" s="59"/>
      <c r="B223" s="4"/>
      <c r="C223" s="63"/>
      <c r="D223" s="61"/>
      <c r="E223" s="61"/>
      <c r="F223" s="61"/>
      <c r="G223" s="22"/>
      <c r="H223" s="22"/>
    </row>
  </sheetData>
  <mergeCells count="22">
    <mergeCell ref="C61:D61"/>
    <mergeCell ref="B5:I6"/>
    <mergeCell ref="B10:I11"/>
    <mergeCell ref="B15:I15"/>
    <mergeCell ref="G32:I32"/>
    <mergeCell ref="B33:C33"/>
    <mergeCell ref="G45:I45"/>
    <mergeCell ref="B185:I189"/>
    <mergeCell ref="B212:I213"/>
    <mergeCell ref="B106:I109"/>
    <mergeCell ref="B117:I118"/>
    <mergeCell ref="B144:I146"/>
    <mergeCell ref="F151:H151"/>
    <mergeCell ref="F152:H152"/>
    <mergeCell ref="G158:I158"/>
    <mergeCell ref="C62:D62"/>
    <mergeCell ref="C77:I84"/>
    <mergeCell ref="F162:H162"/>
    <mergeCell ref="B180:I181"/>
    <mergeCell ref="C86:I88"/>
    <mergeCell ref="C90:I94"/>
    <mergeCell ref="C100:I102"/>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J352"/>
  <sheetViews>
    <sheetView zoomScaleSheetLayoutView="100" workbookViewId="0">
      <selection activeCell="G29" sqref="G29"/>
    </sheetView>
  </sheetViews>
  <sheetFormatPr defaultRowHeight="15"/>
  <cols>
    <col min="1" max="1" width="32.28515625" style="690" customWidth="1"/>
    <col min="2" max="3" width="15.7109375" style="690" bestFit="1" customWidth="1"/>
    <col min="4" max="4" width="14" style="690" bestFit="1" customWidth="1"/>
    <col min="5" max="5" width="15" style="690" bestFit="1" customWidth="1"/>
    <col min="6" max="6" width="14" style="690" bestFit="1" customWidth="1"/>
    <col min="7" max="7" width="15.7109375" style="690" bestFit="1" customWidth="1"/>
    <col min="8" max="8" width="7.140625" style="690" hidden="1" customWidth="1"/>
    <col min="9" max="9" width="10.140625" style="690" hidden="1" customWidth="1"/>
    <col min="10" max="10" width="17.140625" style="690" customWidth="1"/>
    <col min="11" max="16384" width="9.140625" style="690"/>
  </cols>
  <sheetData>
    <row r="1" spans="1:10" ht="15.75">
      <c r="A1" s="799" t="s">
        <v>0</v>
      </c>
      <c r="B1" s="799"/>
      <c r="C1" s="799"/>
      <c r="D1" s="799"/>
      <c r="E1" s="799"/>
      <c r="F1" s="799"/>
      <c r="G1" s="799"/>
      <c r="H1" s="799"/>
      <c r="I1" s="799"/>
      <c r="J1" s="799"/>
    </row>
    <row r="2" spans="1:10" hidden="1">
      <c r="A2" s="741"/>
      <c r="B2" s="741"/>
      <c r="C2" s="741"/>
      <c r="D2" s="741"/>
      <c r="E2" s="741"/>
      <c r="F2" s="741"/>
      <c r="G2" s="741"/>
      <c r="H2" s="741"/>
      <c r="I2" s="741"/>
      <c r="J2" s="741"/>
    </row>
    <row r="3" spans="1:10">
      <c r="A3" s="800" t="s">
        <v>1281</v>
      </c>
      <c r="B3" s="800"/>
      <c r="C3" s="800"/>
      <c r="D3" s="800"/>
      <c r="E3" s="800"/>
      <c r="F3" s="800"/>
      <c r="G3" s="800"/>
      <c r="H3" s="800"/>
      <c r="I3" s="800"/>
      <c r="J3" s="800"/>
    </row>
    <row r="4" spans="1:10">
      <c r="A4" s="797" t="s">
        <v>1276</v>
      </c>
      <c r="B4" s="797"/>
      <c r="C4" s="797"/>
      <c r="D4" s="797"/>
      <c r="E4" s="797"/>
      <c r="F4" s="797"/>
      <c r="G4" s="797"/>
      <c r="H4" s="797"/>
      <c r="I4" s="797"/>
      <c r="J4" s="797"/>
    </row>
    <row r="5" spans="1:10">
      <c r="A5" s="698"/>
      <c r="B5" s="698"/>
      <c r="C5" s="698"/>
      <c r="D5" s="698"/>
      <c r="E5" s="698"/>
      <c r="F5" s="698"/>
      <c r="G5" s="698"/>
      <c r="H5" s="698"/>
      <c r="I5" s="698"/>
      <c r="J5" s="698"/>
    </row>
    <row r="6" spans="1:10">
      <c r="A6" s="698"/>
      <c r="B6" s="698"/>
      <c r="C6" s="698"/>
      <c r="D6" s="698"/>
      <c r="E6" s="698"/>
      <c r="F6" s="698"/>
      <c r="G6" s="801" t="s">
        <v>558</v>
      </c>
      <c r="H6" s="801"/>
      <c r="I6" s="801"/>
      <c r="J6" s="801"/>
    </row>
    <row r="7" spans="1:10" ht="39.75" customHeight="1">
      <c r="A7" s="742" t="s">
        <v>23</v>
      </c>
      <c r="B7" s="742" t="s">
        <v>1254</v>
      </c>
      <c r="C7" s="742" t="s">
        <v>1255</v>
      </c>
      <c r="D7" s="743" t="s">
        <v>1253</v>
      </c>
      <c r="E7" s="742" t="s">
        <v>1256</v>
      </c>
      <c r="F7" s="742" t="s">
        <v>1257</v>
      </c>
      <c r="G7" s="742" t="s">
        <v>1258</v>
      </c>
      <c r="H7" s="744"/>
      <c r="I7" s="745" t="s">
        <v>563</v>
      </c>
      <c r="J7" s="742" t="s">
        <v>1259</v>
      </c>
    </row>
    <row r="8" spans="1:10" s="634" customFormat="1" ht="27" customHeight="1">
      <c r="A8" s="689" t="s">
        <v>1277</v>
      </c>
      <c r="B8" s="640">
        <v>1649055100</v>
      </c>
      <c r="C8" s="662">
        <v>1660000000</v>
      </c>
      <c r="D8" s="640">
        <v>723293759.25</v>
      </c>
      <c r="E8" s="640">
        <v>714543556.08696103</v>
      </c>
      <c r="F8" s="640">
        <v>336165684</v>
      </c>
      <c r="G8" s="640">
        <v>1304618748.4568117</v>
      </c>
      <c r="H8" s="640">
        <v>4024987926.5978317</v>
      </c>
      <c r="I8" s="640">
        <v>-2.887004864650197E+18</v>
      </c>
      <c r="J8" s="662">
        <v>6387676845.7937727</v>
      </c>
    </row>
    <row r="9" spans="1:10" s="634" customFormat="1" ht="21" customHeight="1">
      <c r="A9" s="689" t="s">
        <v>626</v>
      </c>
      <c r="B9" s="746"/>
      <c r="C9" s="746"/>
      <c r="D9" s="746"/>
      <c r="E9" s="746"/>
      <c r="F9" s="746"/>
      <c r="G9" s="746"/>
      <c r="H9" s="662"/>
      <c r="I9" s="662"/>
      <c r="J9" s="662">
        <v>0</v>
      </c>
    </row>
    <row r="10" spans="1:10" s="634" customFormat="1" ht="21" customHeight="1">
      <c r="A10" s="640" t="s">
        <v>773</v>
      </c>
      <c r="B10" s="746">
        <v>0</v>
      </c>
      <c r="C10" s="746">
        <v>0</v>
      </c>
      <c r="D10" s="746">
        <v>0</v>
      </c>
      <c r="E10" s="746">
        <v>0</v>
      </c>
      <c r="F10" s="746">
        <v>0</v>
      </c>
      <c r="G10" s="635">
        <v>0</v>
      </c>
      <c r="H10" s="662"/>
      <c r="I10" s="662"/>
      <c r="J10" s="662">
        <v>0</v>
      </c>
    </row>
    <row r="11" spans="1:10" s="634" customFormat="1" ht="21" customHeight="1">
      <c r="A11" s="634" t="s">
        <v>1283</v>
      </c>
      <c r="B11" s="746">
        <v>0</v>
      </c>
      <c r="C11" s="746">
        <v>0</v>
      </c>
      <c r="D11" s="746">
        <v>0</v>
      </c>
      <c r="E11" s="746">
        <v>0</v>
      </c>
      <c r="F11" s="746">
        <v>0</v>
      </c>
      <c r="G11" s="635">
        <v>171751625.04164717</v>
      </c>
      <c r="H11" s="635"/>
      <c r="I11" s="635"/>
      <c r="J11" s="662">
        <v>171751624.55164716</v>
      </c>
    </row>
    <row r="12" spans="1:10" s="634" customFormat="1" ht="21" customHeight="1">
      <c r="A12" s="634" t="s">
        <v>3</v>
      </c>
      <c r="B12" s="746">
        <v>0</v>
      </c>
      <c r="C12" s="746">
        <v>0</v>
      </c>
      <c r="D12" s="746">
        <v>0</v>
      </c>
      <c r="E12" s="635">
        <v>3901146.9596316526</v>
      </c>
      <c r="F12" s="747">
        <v>0</v>
      </c>
      <c r="G12" s="662">
        <v>-3901146.9596316526</v>
      </c>
      <c r="H12" s="635"/>
      <c r="I12" s="635"/>
      <c r="J12" s="662">
        <v>0</v>
      </c>
    </row>
    <row r="13" spans="1:10" s="634" customFormat="1" ht="21" customHeight="1" thickBot="1">
      <c r="A13" s="748" t="s">
        <v>1290</v>
      </c>
      <c r="B13" s="749">
        <v>1649055100.25</v>
      </c>
      <c r="C13" s="749">
        <v>1660000000</v>
      </c>
      <c r="D13" s="749">
        <v>723293759.25</v>
      </c>
      <c r="E13" s="749">
        <v>718444703.04659271</v>
      </c>
      <c r="F13" s="749">
        <v>336165684.25</v>
      </c>
      <c r="G13" s="749">
        <v>1472469226.9388273</v>
      </c>
      <c r="H13" s="749">
        <v>4024987926.5978317</v>
      </c>
      <c r="I13" s="749">
        <v>-2.887004864650197E+18</v>
      </c>
      <c r="J13" s="749">
        <v>6559428473.7354202</v>
      </c>
    </row>
    <row r="14" spans="1:10" s="634" customFormat="1" ht="21" customHeight="1" thickTop="1">
      <c r="A14" s="750"/>
      <c r="B14" s="751"/>
      <c r="C14" s="751"/>
      <c r="D14" s="752"/>
      <c r="E14" s="751"/>
      <c r="F14" s="751"/>
      <c r="G14" s="751"/>
      <c r="H14" s="753"/>
      <c r="I14" s="751"/>
      <c r="J14" s="751"/>
    </row>
    <row r="15" spans="1:10" s="634" customFormat="1" ht="21" customHeight="1">
      <c r="A15" s="689" t="s">
        <v>1038</v>
      </c>
      <c r="B15" s="689">
        <v>1649055100</v>
      </c>
      <c r="C15" s="664">
        <v>1660000000</v>
      </c>
      <c r="D15" s="689">
        <v>723293759.25</v>
      </c>
      <c r="E15" s="689">
        <v>706977180.13999999</v>
      </c>
      <c r="F15" s="689">
        <v>336165684</v>
      </c>
      <c r="G15" s="689">
        <v>808879808.49041104</v>
      </c>
      <c r="H15" s="664">
        <v>4024987926.5978317</v>
      </c>
      <c r="I15" s="664">
        <v>-2.887004864650197E+18</v>
      </c>
      <c r="J15" s="664">
        <v>5884371531.3904114</v>
      </c>
    </row>
    <row r="16" spans="1:10" s="634" customFormat="1" ht="21" hidden="1" customHeight="1">
      <c r="A16" s="640" t="s">
        <v>626</v>
      </c>
      <c r="B16" s="746"/>
      <c r="C16" s="746"/>
      <c r="D16" s="746"/>
      <c r="E16" s="746"/>
      <c r="F16" s="746"/>
      <c r="G16" s="746"/>
      <c r="H16" s="662"/>
      <c r="I16" s="662"/>
      <c r="J16" s="662">
        <v>0</v>
      </c>
    </row>
    <row r="17" spans="1:10" s="634" customFormat="1" ht="21" customHeight="1">
      <c r="A17" s="689" t="s">
        <v>626</v>
      </c>
      <c r="B17" s="746"/>
      <c r="C17" s="746"/>
      <c r="D17" s="746"/>
      <c r="E17" s="746"/>
      <c r="F17" s="746"/>
      <c r="G17" s="746"/>
      <c r="H17" s="662"/>
      <c r="I17" s="662"/>
      <c r="J17" s="662"/>
    </row>
    <row r="18" spans="1:10" s="634" customFormat="1" ht="21" customHeight="1">
      <c r="A18" s="640" t="s">
        <v>773</v>
      </c>
      <c r="B18" s="746">
        <v>0</v>
      </c>
      <c r="C18" s="746">
        <v>0</v>
      </c>
      <c r="D18" s="746">
        <v>0</v>
      </c>
      <c r="E18" s="746">
        <v>0</v>
      </c>
      <c r="F18" s="746">
        <v>0</v>
      </c>
      <c r="G18" s="635">
        <v>0</v>
      </c>
      <c r="H18" s="662"/>
      <c r="I18" s="662"/>
      <c r="J18" s="662">
        <v>0</v>
      </c>
    </row>
    <row r="19" spans="1:10" s="634" customFormat="1" ht="21" customHeight="1">
      <c r="A19" s="634" t="s">
        <v>1283</v>
      </c>
      <c r="B19" s="746">
        <v>0</v>
      </c>
      <c r="C19" s="746">
        <v>0</v>
      </c>
      <c r="D19" s="746">
        <v>0</v>
      </c>
      <c r="E19" s="746">
        <v>0</v>
      </c>
      <c r="F19" s="746">
        <v>0</v>
      </c>
      <c r="G19" s="635">
        <v>77047022</v>
      </c>
      <c r="H19" s="662"/>
      <c r="I19" s="662"/>
      <c r="J19" s="662">
        <v>77047021.75</v>
      </c>
    </row>
    <row r="20" spans="1:10" s="634" customFormat="1" ht="21" customHeight="1">
      <c r="A20" s="634" t="s">
        <v>3</v>
      </c>
      <c r="B20" s="746">
        <v>0</v>
      </c>
      <c r="C20" s="746">
        <v>0</v>
      </c>
      <c r="D20" s="746">
        <v>0</v>
      </c>
      <c r="E20" s="635">
        <v>7130879</v>
      </c>
      <c r="F20" s="747">
        <v>0</v>
      </c>
      <c r="G20" s="662">
        <v>-7130879</v>
      </c>
      <c r="H20" s="640"/>
      <c r="I20" s="640"/>
      <c r="J20" s="662">
        <v>0</v>
      </c>
    </row>
    <row r="21" spans="1:10" s="634" customFormat="1" ht="21" customHeight="1" thickBot="1">
      <c r="A21" s="748" t="s">
        <v>1279</v>
      </c>
      <c r="B21" s="749">
        <v>1649055100</v>
      </c>
      <c r="C21" s="749">
        <v>1660000000</v>
      </c>
      <c r="D21" s="748">
        <v>723293759.25</v>
      </c>
      <c r="E21" s="748">
        <v>714108059.13999999</v>
      </c>
      <c r="F21" s="748">
        <v>336165684</v>
      </c>
      <c r="G21" s="748">
        <v>878795951.49041104</v>
      </c>
      <c r="H21" s="748">
        <v>4024987926.5978317</v>
      </c>
      <c r="I21" s="748">
        <v>-2.887004864650197E+18</v>
      </c>
      <c r="J21" s="748">
        <v>5961418552.8804111</v>
      </c>
    </row>
    <row r="22" spans="1:10" s="634" customFormat="1" ht="4.9000000000000004" customHeight="1" thickTop="1">
      <c r="A22" s="640"/>
      <c r="B22" s="640"/>
      <c r="C22" s="640"/>
      <c r="D22" s="640"/>
      <c r="E22" s="640"/>
      <c r="F22" s="640"/>
      <c r="G22" s="640"/>
      <c r="H22" s="640"/>
      <c r="I22" s="640"/>
      <c r="J22" s="640"/>
    </row>
    <row r="23" spans="1:10" s="634" customFormat="1">
      <c r="A23" s="684"/>
      <c r="B23" s="640"/>
      <c r="C23" s="640"/>
      <c r="D23" s="640"/>
      <c r="E23" s="640"/>
      <c r="F23" s="640"/>
      <c r="G23" s="640"/>
      <c r="H23" s="640"/>
      <c r="I23" s="640"/>
      <c r="J23" s="640"/>
    </row>
    <row r="24" spans="1:10" s="634" customFormat="1">
      <c r="A24" s="684"/>
      <c r="B24" s="640"/>
      <c r="C24" s="640"/>
      <c r="D24" s="640"/>
      <c r="E24" s="640"/>
      <c r="F24" s="640"/>
      <c r="G24" s="640"/>
      <c r="H24" s="640"/>
      <c r="I24" s="640"/>
      <c r="J24" s="640"/>
    </row>
    <row r="25" spans="1:10" ht="16.5">
      <c r="A25" s="839" t="s">
        <v>1305</v>
      </c>
      <c r="B25" s="839"/>
      <c r="C25" s="839"/>
      <c r="D25" s="839"/>
      <c r="E25" s="839"/>
      <c r="F25" s="839"/>
      <c r="G25" s="839"/>
      <c r="H25" s="839"/>
      <c r="I25" s="839"/>
      <c r="J25" s="839"/>
    </row>
    <row r="26" spans="1:10" s="727" customFormat="1" ht="18" customHeight="1">
      <c r="A26" s="785" t="s">
        <v>1314</v>
      </c>
      <c r="B26" s="785"/>
      <c r="C26" s="785"/>
      <c r="D26" s="785"/>
      <c r="E26" s="785"/>
      <c r="F26" s="785"/>
      <c r="G26" s="785"/>
      <c r="H26" s="785"/>
      <c r="I26" s="785"/>
      <c r="J26" s="785"/>
    </row>
    <row r="27" spans="1:10">
      <c r="A27" s="737"/>
      <c r="B27" s="737"/>
      <c r="C27" s="737"/>
      <c r="D27" s="737"/>
      <c r="E27" s="737"/>
      <c r="F27" s="737"/>
      <c r="G27" s="737"/>
      <c r="H27" s="737"/>
      <c r="I27" s="737"/>
    </row>
    <row r="28" spans="1:10">
      <c r="A28" s="737"/>
      <c r="B28" s="737"/>
      <c r="C28" s="737"/>
      <c r="D28" s="737"/>
      <c r="E28" s="737"/>
      <c r="F28" s="737"/>
      <c r="G28" s="737"/>
      <c r="H28" s="737"/>
      <c r="I28" s="737"/>
    </row>
    <row r="29" spans="1:10">
      <c r="A29" s="737"/>
      <c r="B29" s="737"/>
      <c r="C29" s="737"/>
      <c r="D29" s="737"/>
      <c r="E29" s="737"/>
      <c r="F29" s="737"/>
      <c r="G29" s="737"/>
      <c r="H29" s="737"/>
      <c r="I29" s="699"/>
    </row>
    <row r="30" spans="1:10">
      <c r="A30" s="738" t="s">
        <v>1247</v>
      </c>
      <c r="B30" s="739"/>
      <c r="C30" s="739"/>
      <c r="D30" s="739"/>
      <c r="E30" s="739"/>
      <c r="F30" s="739"/>
      <c r="G30" s="798"/>
      <c r="H30" s="798"/>
      <c r="I30" s="798"/>
      <c r="J30" s="798"/>
    </row>
    <row r="31" spans="1:10">
      <c r="A31" s="740" t="s">
        <v>1298</v>
      </c>
      <c r="B31" s="739"/>
      <c r="C31" s="739"/>
      <c r="D31" s="739"/>
      <c r="E31" s="739"/>
      <c r="F31" s="739"/>
      <c r="G31" s="798"/>
      <c r="H31" s="798"/>
      <c r="I31" s="798"/>
      <c r="J31" s="798"/>
    </row>
    <row r="32" spans="1:10">
      <c r="A32" s="740"/>
      <c r="B32" s="691"/>
      <c r="C32" s="691"/>
      <c r="D32" s="691"/>
      <c r="E32" s="691"/>
      <c r="G32" s="755"/>
      <c r="H32" s="691"/>
      <c r="I32" s="691"/>
      <c r="J32" s="755"/>
    </row>
    <row r="33" spans="1:10">
      <c r="A33" s="740"/>
      <c r="B33" s="691"/>
      <c r="C33" s="691"/>
      <c r="D33" s="691"/>
      <c r="E33" s="691"/>
      <c r="G33" s="755"/>
      <c r="H33" s="691"/>
      <c r="I33" s="691"/>
      <c r="J33" s="755"/>
    </row>
    <row r="34" spans="1:10">
      <c r="A34" s="740"/>
      <c r="B34" s="691"/>
      <c r="C34" s="691"/>
      <c r="D34" s="691"/>
      <c r="E34" s="691"/>
      <c r="G34" s="755"/>
      <c r="H34" s="691"/>
      <c r="I34" s="691"/>
      <c r="J34" s="755"/>
    </row>
    <row r="35" spans="1:10">
      <c r="A35" s="740"/>
      <c r="B35" s="691"/>
      <c r="C35" s="691"/>
      <c r="D35" s="691"/>
      <c r="E35" s="691"/>
      <c r="G35" s="755"/>
      <c r="H35" s="691"/>
      <c r="I35" s="691"/>
      <c r="J35" s="755"/>
    </row>
    <row r="36" spans="1:10">
      <c r="A36" s="740"/>
      <c r="B36" s="691"/>
      <c r="C36" s="691"/>
      <c r="D36" s="691"/>
      <c r="E36" s="691"/>
      <c r="G36" s="755"/>
      <c r="H36" s="691"/>
      <c r="I36" s="691"/>
      <c r="J36" s="755"/>
    </row>
    <row r="37" spans="1:10">
      <c r="A37" s="740"/>
      <c r="B37" s="691"/>
      <c r="C37" s="691"/>
      <c r="D37" s="691"/>
      <c r="E37" s="691"/>
      <c r="G37" s="755"/>
      <c r="H37" s="691"/>
      <c r="I37" s="691"/>
      <c r="J37" s="755"/>
    </row>
    <row r="38" spans="1:10">
      <c r="A38" s="740"/>
      <c r="B38" s="691"/>
      <c r="C38" s="691"/>
      <c r="D38" s="691"/>
      <c r="E38" s="691"/>
      <c r="G38" s="755"/>
      <c r="H38" s="691"/>
      <c r="I38" s="691"/>
      <c r="J38" s="755"/>
    </row>
    <row r="39" spans="1:10">
      <c r="A39" s="740"/>
      <c r="B39" s="691"/>
      <c r="C39" s="691"/>
      <c r="D39" s="691"/>
      <c r="E39" s="691"/>
      <c r="G39" s="755"/>
      <c r="H39" s="691"/>
      <c r="I39" s="691"/>
      <c r="J39" s="755"/>
    </row>
    <row r="40" spans="1:10">
      <c r="A40" s="740"/>
      <c r="B40" s="691"/>
      <c r="C40" s="691"/>
      <c r="D40" s="691"/>
      <c r="E40" s="691"/>
      <c r="G40" s="755"/>
      <c r="H40" s="691"/>
      <c r="I40" s="691"/>
      <c r="J40" s="755"/>
    </row>
    <row r="318" ht="9.75" customHeight="1"/>
    <row r="345" ht="12" customHeight="1"/>
    <row r="352" ht="9.75" customHeight="1"/>
  </sheetData>
  <mergeCells count="8">
    <mergeCell ref="G30:J30"/>
    <mergeCell ref="G31:J31"/>
    <mergeCell ref="A1:J1"/>
    <mergeCell ref="A3:J3"/>
    <mergeCell ref="A4:J4"/>
    <mergeCell ref="G6:J6"/>
    <mergeCell ref="A26:J26"/>
    <mergeCell ref="A25:J25"/>
  </mergeCells>
  <pageMargins left="0.511811023622047" right="0.34" top="0.90551181102362199" bottom="0.73" header="0.6" footer="0.4"/>
  <pageSetup paperSize="9" scale="67" firstPageNumber="4" orientation="portrait" useFirstPageNumber="1" r:id="rId1"/>
  <headerFooter>
    <oddFooter>&amp;C&amp;14 3</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K529"/>
  <sheetViews>
    <sheetView tabSelected="1" topLeftCell="A35" zoomScaleSheetLayoutView="100" workbookViewId="0">
      <selection activeCell="O54" sqref="O54"/>
    </sheetView>
  </sheetViews>
  <sheetFormatPr defaultColWidth="11.28515625" defaultRowHeight="15"/>
  <cols>
    <col min="1" max="1" width="3.28515625" style="645" customWidth="1"/>
    <col min="2" max="2" width="8.85546875" style="645" customWidth="1"/>
    <col min="3" max="3" width="8.42578125" style="645" customWidth="1"/>
    <col min="4" max="4" width="8.5703125" style="645" customWidth="1"/>
    <col min="5" max="5" width="8.140625" style="645" customWidth="1"/>
    <col min="6" max="6" width="4.140625" style="645" customWidth="1"/>
    <col min="7" max="7" width="10.42578125" style="645" customWidth="1"/>
    <col min="8" max="8" width="1" style="645" customWidth="1"/>
    <col min="9" max="9" width="17.28515625" style="645" customWidth="1"/>
    <col min="10" max="10" width="1.28515625" style="645" customWidth="1"/>
    <col min="11" max="11" width="18.85546875" style="645" customWidth="1"/>
    <col min="12" max="16384" width="11.28515625" style="645"/>
  </cols>
  <sheetData>
    <row r="1" spans="1:11" ht="15.75">
      <c r="A1" s="803" t="s">
        <v>0</v>
      </c>
      <c r="B1" s="803"/>
      <c r="C1" s="803"/>
      <c r="D1" s="803"/>
      <c r="E1" s="803"/>
      <c r="F1" s="803"/>
      <c r="G1" s="803"/>
      <c r="H1" s="803"/>
      <c r="I1" s="803"/>
      <c r="J1" s="803"/>
      <c r="K1" s="803"/>
    </row>
    <row r="2" spans="1:11" hidden="1">
      <c r="A2" s="736"/>
      <c r="B2" s="736"/>
      <c r="C2" s="736"/>
      <c r="D2" s="736"/>
      <c r="E2" s="736"/>
      <c r="F2" s="736"/>
      <c r="G2" s="736"/>
      <c r="H2" s="736"/>
      <c r="I2" s="736"/>
      <c r="J2" s="736"/>
      <c r="K2" s="736"/>
    </row>
    <row r="3" spans="1:11">
      <c r="A3" s="800" t="s">
        <v>1282</v>
      </c>
      <c r="B3" s="800"/>
      <c r="C3" s="800"/>
      <c r="D3" s="800"/>
      <c r="E3" s="800"/>
      <c r="F3" s="800"/>
      <c r="G3" s="800"/>
      <c r="H3" s="800"/>
      <c r="I3" s="800"/>
      <c r="J3" s="800"/>
      <c r="K3" s="800"/>
    </row>
    <row r="4" spans="1:11">
      <c r="A4" s="797" t="s">
        <v>1278</v>
      </c>
      <c r="B4" s="797"/>
      <c r="C4" s="797"/>
      <c r="D4" s="797"/>
      <c r="E4" s="797"/>
      <c r="F4" s="797"/>
      <c r="G4" s="797"/>
      <c r="H4" s="797"/>
      <c r="I4" s="797"/>
      <c r="J4" s="797"/>
      <c r="K4" s="797"/>
    </row>
    <row r="5" spans="1:11">
      <c r="A5" s="773"/>
      <c r="B5" s="773"/>
      <c r="C5" s="773"/>
      <c r="D5" s="773"/>
      <c r="E5" s="773"/>
      <c r="F5" s="773"/>
      <c r="G5" s="773"/>
      <c r="H5" s="773"/>
      <c r="I5" s="773"/>
      <c r="J5" s="773"/>
      <c r="K5" s="773"/>
    </row>
    <row r="6" spans="1:11">
      <c r="A6" s="698"/>
      <c r="B6" s="698"/>
      <c r="C6" s="698"/>
      <c r="D6" s="698"/>
      <c r="E6" s="698"/>
      <c r="G6" s="790"/>
      <c r="H6" s="685"/>
      <c r="I6" s="791" t="s">
        <v>138</v>
      </c>
      <c r="J6" s="792"/>
      <c r="K6" s="793"/>
    </row>
    <row r="7" spans="1:11">
      <c r="A7" s="690"/>
      <c r="B7" s="690"/>
      <c r="C7" s="690"/>
      <c r="D7" s="690"/>
      <c r="E7" s="690"/>
      <c r="G7" s="790"/>
      <c r="H7" s="685"/>
      <c r="I7" s="694" t="s">
        <v>1292</v>
      </c>
      <c r="J7" s="756"/>
      <c r="K7" s="694" t="s">
        <v>1293</v>
      </c>
    </row>
    <row r="8" spans="1:11">
      <c r="A8" s="735" t="s">
        <v>627</v>
      </c>
      <c r="B8" s="690"/>
      <c r="C8" s="690"/>
      <c r="D8" s="690"/>
      <c r="E8" s="690"/>
      <c r="F8" s="690"/>
      <c r="G8" s="690"/>
      <c r="H8" s="690"/>
      <c r="J8" s="690"/>
      <c r="K8" s="690"/>
    </row>
    <row r="9" spans="1:11" ht="15" hidden="1" customHeight="1">
      <c r="A9" s="690"/>
      <c r="B9" s="690"/>
      <c r="C9" s="690"/>
      <c r="D9" s="690"/>
      <c r="E9" s="690"/>
      <c r="F9" s="690"/>
      <c r="G9" s="690"/>
      <c r="H9" s="690"/>
      <c r="J9" s="690"/>
      <c r="K9" s="690"/>
    </row>
    <row r="10" spans="1:11">
      <c r="A10" s="690"/>
      <c r="B10" s="690" t="s">
        <v>624</v>
      </c>
      <c r="C10" s="690"/>
      <c r="D10" s="690"/>
      <c r="E10" s="690"/>
      <c r="F10" s="690"/>
      <c r="G10" s="690"/>
      <c r="H10" s="690"/>
      <c r="I10" s="710">
        <v>532630860.81999964</v>
      </c>
      <c r="J10" s="690"/>
      <c r="K10" s="710">
        <v>300764876</v>
      </c>
    </row>
    <row r="11" spans="1:11">
      <c r="A11" s="690"/>
      <c r="B11" s="690" t="s">
        <v>576</v>
      </c>
      <c r="C11" s="690"/>
      <c r="D11" s="690"/>
      <c r="E11" s="690"/>
      <c r="F11" s="690"/>
      <c r="G11" s="690"/>
      <c r="H11" s="690"/>
      <c r="I11" s="757">
        <v>-136366957.10000008</v>
      </c>
      <c r="J11" s="690"/>
      <c r="K11" s="757">
        <v>-51390649</v>
      </c>
    </row>
    <row r="12" spans="1:11">
      <c r="A12" s="690"/>
      <c r="B12" s="690" t="s">
        <v>1289</v>
      </c>
      <c r="C12" s="690"/>
      <c r="D12" s="690"/>
      <c r="E12" s="690"/>
      <c r="F12" s="690"/>
      <c r="G12" s="690"/>
      <c r="H12" s="690"/>
      <c r="I12" s="757">
        <v>96466.31</v>
      </c>
      <c r="J12" s="690"/>
      <c r="K12" s="757">
        <v>0</v>
      </c>
    </row>
    <row r="13" spans="1:11">
      <c r="A13" s="690"/>
      <c r="B13" s="690" t="s">
        <v>577</v>
      </c>
      <c r="C13" s="690"/>
      <c r="D13" s="690"/>
      <c r="E13" s="690"/>
      <c r="F13" s="690"/>
      <c r="G13" s="690"/>
      <c r="H13" s="690"/>
      <c r="I13" s="757">
        <v>-33065054.899999999</v>
      </c>
      <c r="J13" s="690"/>
      <c r="K13" s="757">
        <v>-29188670</v>
      </c>
    </row>
    <row r="14" spans="1:11">
      <c r="A14" s="690"/>
      <c r="B14" s="690" t="s">
        <v>578</v>
      </c>
      <c r="C14" s="690"/>
      <c r="D14" s="690"/>
      <c r="E14" s="690"/>
      <c r="F14" s="690"/>
      <c r="G14" s="690"/>
      <c r="H14" s="690"/>
      <c r="I14" s="757">
        <v>-33142593.910000026</v>
      </c>
      <c r="J14" s="690"/>
      <c r="K14" s="757">
        <v>-11679700</v>
      </c>
    </row>
    <row r="15" spans="1:11">
      <c r="A15" s="690"/>
      <c r="B15" s="758" t="s">
        <v>579</v>
      </c>
      <c r="C15" s="690"/>
      <c r="D15" s="690"/>
      <c r="E15" s="690"/>
      <c r="F15" s="690"/>
      <c r="G15" s="690"/>
      <c r="H15" s="690"/>
      <c r="I15" s="757">
        <v>34875052.00999999</v>
      </c>
      <c r="J15" s="690"/>
      <c r="K15" s="757">
        <v>47957161</v>
      </c>
    </row>
    <row r="16" spans="1:11">
      <c r="A16" s="690"/>
      <c r="B16" s="690" t="s">
        <v>581</v>
      </c>
      <c r="C16" s="690"/>
      <c r="D16" s="690"/>
      <c r="E16" s="690"/>
      <c r="F16" s="690"/>
      <c r="G16" s="690"/>
      <c r="H16" s="690"/>
      <c r="I16" s="759">
        <v>433495</v>
      </c>
      <c r="J16" s="690"/>
      <c r="K16" s="759">
        <v>5321899.25</v>
      </c>
    </row>
    <row r="17" spans="1:11">
      <c r="A17" s="690"/>
      <c r="B17" s="735" t="s">
        <v>754</v>
      </c>
      <c r="C17" s="690"/>
      <c r="D17" s="690"/>
      <c r="E17" s="690"/>
      <c r="F17" s="690"/>
      <c r="G17" s="690"/>
      <c r="H17" s="690"/>
      <c r="I17" s="760">
        <v>365461268.22999954</v>
      </c>
      <c r="J17" s="735"/>
      <c r="K17" s="760">
        <v>261784917.5</v>
      </c>
    </row>
    <row r="18" spans="1:11" ht="6.75" customHeight="1">
      <c r="A18" s="758"/>
      <c r="B18" s="690"/>
      <c r="C18" s="690"/>
      <c r="D18" s="690"/>
      <c r="E18" s="690"/>
      <c r="F18" s="690"/>
      <c r="G18" s="690"/>
      <c r="H18" s="690"/>
      <c r="J18" s="690"/>
      <c r="K18" s="690"/>
    </row>
    <row r="19" spans="1:11">
      <c r="A19" s="761" t="s">
        <v>628</v>
      </c>
      <c r="B19" s="690"/>
      <c r="C19" s="690"/>
      <c r="D19" s="690"/>
      <c r="E19" s="690"/>
      <c r="F19" s="690"/>
      <c r="G19" s="690"/>
      <c r="H19" s="690"/>
      <c r="J19" s="690"/>
      <c r="K19" s="690"/>
    </row>
    <row r="20" spans="1:11" ht="4.5" customHeight="1">
      <c r="A20" s="758"/>
      <c r="B20" s="690"/>
      <c r="C20" s="690"/>
      <c r="D20" s="690"/>
      <c r="E20" s="690"/>
      <c r="F20" s="690"/>
      <c r="G20" s="690"/>
      <c r="H20" s="690"/>
      <c r="J20" s="690"/>
      <c r="K20" s="690"/>
    </row>
    <row r="21" spans="1:11">
      <c r="A21" s="758"/>
      <c r="B21" s="758" t="s">
        <v>1149</v>
      </c>
      <c r="C21" s="690"/>
      <c r="D21" s="690"/>
      <c r="E21" s="690"/>
      <c r="F21" s="690"/>
      <c r="G21" s="690"/>
      <c r="H21" s="690"/>
      <c r="I21" s="762">
        <v>-22848296.140000001</v>
      </c>
      <c r="J21" s="690"/>
      <c r="K21" s="762">
        <v>-10621122</v>
      </c>
    </row>
    <row r="22" spans="1:11">
      <c r="A22" s="758"/>
      <c r="B22" s="758" t="s">
        <v>580</v>
      </c>
      <c r="C22" s="690"/>
      <c r="D22" s="690"/>
      <c r="E22" s="690"/>
      <c r="F22" s="690"/>
      <c r="G22" s="690"/>
      <c r="H22" s="690"/>
      <c r="I22" s="759">
        <v>136767.54999999999</v>
      </c>
      <c r="J22" s="690"/>
      <c r="K22" s="759">
        <v>0</v>
      </c>
    </row>
    <row r="23" spans="1:11">
      <c r="A23" s="758"/>
      <c r="B23" s="761" t="s">
        <v>774</v>
      </c>
      <c r="C23" s="690"/>
      <c r="D23" s="690"/>
      <c r="E23" s="690"/>
      <c r="F23" s="690"/>
      <c r="G23" s="690"/>
      <c r="H23" s="690"/>
      <c r="I23" s="763">
        <v>-22711528.59</v>
      </c>
      <c r="J23" s="735"/>
      <c r="K23" s="763">
        <v>-10621122</v>
      </c>
    </row>
    <row r="24" spans="1:11" ht="3.75" customHeight="1">
      <c r="A24" s="758"/>
      <c r="B24" s="690"/>
      <c r="C24" s="690"/>
      <c r="D24" s="690"/>
      <c r="E24" s="690"/>
      <c r="F24" s="690"/>
      <c r="G24" s="690"/>
      <c r="H24" s="690"/>
      <c r="J24" s="690"/>
      <c r="K24" s="657"/>
    </row>
    <row r="25" spans="1:11">
      <c r="A25" s="761" t="s">
        <v>629</v>
      </c>
      <c r="B25" s="690"/>
      <c r="C25" s="690"/>
      <c r="D25" s="690"/>
      <c r="E25" s="690"/>
      <c r="F25" s="690"/>
      <c r="G25" s="690"/>
      <c r="H25" s="690"/>
      <c r="J25" s="690"/>
      <c r="K25" s="657"/>
    </row>
    <row r="26" spans="1:11">
      <c r="A26" s="758"/>
      <c r="B26" s="690" t="s">
        <v>25</v>
      </c>
      <c r="C26" s="690"/>
      <c r="D26" s="690"/>
      <c r="E26" s="690"/>
      <c r="F26" s="690"/>
      <c r="G26" s="690"/>
      <c r="H26" s="690"/>
      <c r="I26" s="762">
        <v>-516.10999989509583</v>
      </c>
      <c r="J26" s="727"/>
      <c r="K26" s="762">
        <v>-2040</v>
      </c>
    </row>
    <row r="27" spans="1:11">
      <c r="A27" s="758"/>
      <c r="B27" s="690" t="s">
        <v>1273</v>
      </c>
      <c r="C27" s="690"/>
      <c r="D27" s="690"/>
      <c r="E27" s="690"/>
      <c r="F27" s="690"/>
      <c r="G27" s="690"/>
      <c r="H27" s="690"/>
      <c r="I27" s="757">
        <v>-86750987</v>
      </c>
      <c r="J27" s="727"/>
      <c r="K27" s="757">
        <v>0</v>
      </c>
    </row>
    <row r="28" spans="1:11">
      <c r="A28" s="758"/>
      <c r="B28" s="690" t="s">
        <v>1274</v>
      </c>
      <c r="C28" s="690"/>
      <c r="D28" s="690"/>
      <c r="E28" s="690"/>
      <c r="F28" s="690"/>
      <c r="G28" s="690"/>
      <c r="H28" s="690"/>
      <c r="I28" s="757">
        <v>-79313164</v>
      </c>
      <c r="J28" s="727"/>
      <c r="K28" s="757">
        <v>0</v>
      </c>
    </row>
    <row r="29" spans="1:11">
      <c r="A29" s="758"/>
      <c r="B29" s="758" t="s">
        <v>755</v>
      </c>
      <c r="C29" s="690"/>
      <c r="D29" s="690"/>
      <c r="E29" s="690"/>
      <c r="F29" s="690"/>
      <c r="G29" s="690"/>
      <c r="H29" s="690"/>
      <c r="I29" s="760">
        <v>-166064667.1099999</v>
      </c>
      <c r="J29" s="690"/>
      <c r="K29" s="760">
        <v>-2040</v>
      </c>
    </row>
    <row r="30" spans="1:11">
      <c r="A30" s="758" t="s">
        <v>1284</v>
      </c>
      <c r="C30" s="690"/>
      <c r="D30" s="690"/>
      <c r="E30" s="690"/>
      <c r="F30" s="690"/>
      <c r="G30" s="690"/>
      <c r="H30" s="690"/>
      <c r="I30" s="754">
        <v>176685072.52999967</v>
      </c>
      <c r="J30" s="727"/>
      <c r="K30" s="754">
        <v>251161755.5</v>
      </c>
    </row>
    <row r="31" spans="1:11">
      <c r="A31" s="758" t="s">
        <v>1285</v>
      </c>
      <c r="B31" s="758"/>
      <c r="C31" s="690"/>
      <c r="D31" s="690"/>
      <c r="E31" s="690"/>
      <c r="F31" s="690"/>
      <c r="G31" s="690"/>
      <c r="H31" s="690"/>
      <c r="I31" s="657">
        <v>2023140003.6300001</v>
      </c>
      <c r="J31" s="690"/>
      <c r="K31" s="657">
        <v>1131140014.75</v>
      </c>
    </row>
    <row r="32" spans="1:11" ht="15.75" thickBot="1">
      <c r="A32" s="761" t="s">
        <v>1286</v>
      </c>
      <c r="B32" s="758"/>
      <c r="C32" s="690"/>
      <c r="D32" s="690"/>
      <c r="E32" s="690"/>
      <c r="F32" s="690"/>
      <c r="G32" s="736"/>
      <c r="H32" s="690"/>
      <c r="I32" s="764">
        <v>2199825076.6599998</v>
      </c>
      <c r="J32" s="735"/>
      <c r="K32" s="764">
        <v>1382301770</v>
      </c>
    </row>
    <row r="33" spans="1:11" ht="6.75" customHeight="1" thickTop="1">
      <c r="B33" s="758"/>
      <c r="C33" s="690"/>
      <c r="D33" s="690"/>
      <c r="E33" s="690"/>
      <c r="F33" s="690"/>
      <c r="G33" s="690"/>
      <c r="H33" s="690"/>
      <c r="J33" s="690"/>
    </row>
    <row r="34" spans="1:11" ht="15.75" thickBot="1">
      <c r="A34" s="690" t="s">
        <v>705</v>
      </c>
      <c r="B34" s="690"/>
      <c r="C34" s="690"/>
      <c r="D34" s="690"/>
      <c r="E34" s="690"/>
      <c r="F34" s="765"/>
      <c r="G34" s="736"/>
      <c r="H34" s="765"/>
      <c r="I34" s="766">
        <v>2.2161859129509955</v>
      </c>
      <c r="J34" s="735"/>
      <c r="K34" s="766">
        <v>1.5874843569508381</v>
      </c>
    </row>
    <row r="35" spans="1:11" ht="15.75" thickTop="1">
      <c r="B35" s="690"/>
      <c r="C35" s="690"/>
      <c r="D35" s="690"/>
      <c r="E35" s="690"/>
      <c r="F35" s="690"/>
      <c r="G35" s="690"/>
      <c r="H35" s="690"/>
      <c r="I35" s="690"/>
      <c r="J35" s="690"/>
    </row>
    <row r="36" spans="1:11" hidden="1">
      <c r="B36" s="690"/>
      <c r="C36" s="690"/>
      <c r="D36" s="690"/>
      <c r="E36" s="690"/>
      <c r="F36" s="690"/>
      <c r="G36" s="690"/>
      <c r="H36" s="690"/>
      <c r="J36" s="690"/>
    </row>
    <row r="37" spans="1:11" hidden="1">
      <c r="B37" s="690"/>
      <c r="C37" s="690"/>
      <c r="D37" s="690"/>
      <c r="E37" s="690"/>
      <c r="F37" s="690"/>
      <c r="G37" s="690"/>
      <c r="H37" s="690"/>
      <c r="J37" s="690"/>
    </row>
    <row r="38" spans="1:11">
      <c r="B38" s="690"/>
      <c r="C38" s="690"/>
      <c r="D38" s="690"/>
      <c r="E38" s="690"/>
      <c r="F38" s="690"/>
      <c r="G38" s="690"/>
      <c r="H38" s="690"/>
      <c r="J38" s="690"/>
    </row>
    <row r="39" spans="1:11" ht="16.5">
      <c r="A39" s="839" t="s">
        <v>1307</v>
      </c>
      <c r="B39" s="839"/>
      <c r="C39" s="839"/>
      <c r="D39" s="839"/>
      <c r="E39" s="839"/>
      <c r="F39" s="839"/>
      <c r="G39" s="839"/>
      <c r="H39" s="839"/>
      <c r="I39" s="839"/>
      <c r="J39" s="839"/>
      <c r="K39" s="839"/>
    </row>
    <row r="40" spans="1:11">
      <c r="A40" s="807" t="s">
        <v>1306</v>
      </c>
      <c r="B40" s="807"/>
      <c r="C40" s="807"/>
      <c r="D40" s="807"/>
      <c r="E40" s="807"/>
      <c r="F40" s="807"/>
      <c r="G40" s="807"/>
      <c r="H40" s="807"/>
      <c r="I40" s="807"/>
      <c r="J40" s="807"/>
      <c r="K40" s="807"/>
    </row>
    <row r="41" spans="1:11" s="767" customFormat="1">
      <c r="A41" s="733"/>
      <c r="B41" s="727"/>
      <c r="C41" s="727"/>
      <c r="D41" s="727"/>
      <c r="E41" s="727"/>
      <c r="F41" s="727"/>
      <c r="G41" s="727"/>
      <c r="H41" s="727"/>
      <c r="I41" s="727"/>
      <c r="J41" s="727"/>
    </row>
    <row r="42" spans="1:11" ht="4.5" hidden="1" customHeight="1">
      <c r="A42" s="690"/>
      <c r="B42" s="690"/>
      <c r="C42" s="690"/>
      <c r="D42" s="690"/>
      <c r="E42" s="690"/>
    </row>
    <row r="43" spans="1:11">
      <c r="A43" s="738" t="s">
        <v>1247</v>
      </c>
      <c r="B43" s="690"/>
      <c r="C43" s="690"/>
      <c r="D43" s="690"/>
      <c r="E43" s="690"/>
      <c r="I43" s="768"/>
      <c r="J43" s="739"/>
      <c r="K43" s="739"/>
    </row>
    <row r="44" spans="1:11">
      <c r="A44" s="740" t="s">
        <v>1298</v>
      </c>
      <c r="B44" s="690"/>
      <c r="C44" s="690"/>
      <c r="D44" s="690"/>
      <c r="E44" s="690"/>
      <c r="I44" s="768"/>
      <c r="J44" s="739"/>
      <c r="K44" s="739"/>
    </row>
    <row r="45" spans="1:11">
      <c r="A45" s="740"/>
      <c r="B45" s="690"/>
      <c r="C45" s="690"/>
      <c r="D45" s="690"/>
      <c r="E45" s="690"/>
      <c r="I45" s="690"/>
      <c r="J45" s="698"/>
      <c r="K45" s="698"/>
    </row>
    <row r="46" spans="1:11">
      <c r="A46" s="802" t="s">
        <v>1309</v>
      </c>
      <c r="B46" s="802"/>
      <c r="C46" s="802"/>
      <c r="D46" s="802"/>
      <c r="E46" s="802"/>
      <c r="F46" s="802"/>
      <c r="G46" s="802"/>
      <c r="H46" s="802"/>
      <c r="I46" s="802"/>
      <c r="J46" s="802"/>
      <c r="K46" s="802"/>
    </row>
    <row r="47" spans="1:11">
      <c r="A47" s="802"/>
      <c r="B47" s="802"/>
      <c r="C47" s="802"/>
      <c r="D47" s="802"/>
      <c r="E47" s="802"/>
      <c r="F47" s="802"/>
      <c r="G47" s="802"/>
      <c r="H47" s="802"/>
      <c r="I47" s="802"/>
      <c r="J47" s="802"/>
      <c r="K47" s="802"/>
    </row>
    <row r="48" spans="1:11" ht="13.5" customHeight="1">
      <c r="A48" s="769"/>
      <c r="B48" s="769"/>
      <c r="C48" s="769"/>
      <c r="D48" s="769"/>
      <c r="E48" s="769"/>
      <c r="F48" s="769"/>
      <c r="G48" s="769"/>
      <c r="H48" s="769"/>
      <c r="I48" s="769"/>
      <c r="J48" s="769"/>
      <c r="K48" s="769"/>
    </row>
    <row r="49" spans="1:11" ht="16.5">
      <c r="A49" s="770" t="s">
        <v>1299</v>
      </c>
      <c r="B49" s="769"/>
      <c r="C49" s="769"/>
      <c r="D49" s="769"/>
      <c r="E49" s="769"/>
      <c r="F49" s="769"/>
      <c r="G49" s="769"/>
      <c r="H49" s="769"/>
      <c r="I49" s="769"/>
      <c r="J49" s="769"/>
      <c r="K49" s="769"/>
    </row>
    <row r="50" spans="1:11">
      <c r="A50" s="804" t="s">
        <v>1300</v>
      </c>
      <c r="B50" s="804"/>
      <c r="C50" s="804"/>
      <c r="D50" s="804"/>
      <c r="E50" s="804"/>
      <c r="F50" s="804"/>
      <c r="G50" s="804"/>
      <c r="H50" s="804"/>
      <c r="I50" s="804"/>
      <c r="J50" s="804"/>
      <c r="K50" s="804"/>
    </row>
    <row r="51" spans="1:11">
      <c r="A51" s="804"/>
      <c r="B51" s="804"/>
      <c r="C51" s="804"/>
      <c r="D51" s="804"/>
      <c r="E51" s="804"/>
      <c r="F51" s="804"/>
      <c r="G51" s="804"/>
      <c r="H51" s="804"/>
      <c r="I51" s="804"/>
      <c r="J51" s="804"/>
      <c r="K51" s="804"/>
    </row>
    <row r="52" spans="1:11">
      <c r="A52" s="804"/>
      <c r="B52" s="804"/>
      <c r="C52" s="804"/>
      <c r="D52" s="804"/>
      <c r="E52" s="804"/>
      <c r="F52" s="804"/>
      <c r="G52" s="804"/>
      <c r="H52" s="804"/>
      <c r="I52" s="804"/>
      <c r="J52" s="804"/>
      <c r="K52" s="804"/>
    </row>
    <row r="53" spans="1:11">
      <c r="A53" s="804"/>
      <c r="B53" s="804"/>
      <c r="C53" s="804"/>
      <c r="D53" s="804"/>
      <c r="E53" s="804"/>
      <c r="F53" s="804"/>
      <c r="G53" s="804"/>
      <c r="H53" s="804"/>
      <c r="I53" s="804"/>
      <c r="J53" s="804"/>
      <c r="K53" s="804"/>
    </row>
    <row r="54" spans="1:11">
      <c r="A54" s="804"/>
      <c r="B54" s="804"/>
      <c r="C54" s="804"/>
      <c r="D54" s="804"/>
      <c r="E54" s="804"/>
      <c r="F54" s="804"/>
      <c r="G54" s="804"/>
      <c r="H54" s="804"/>
      <c r="I54" s="804"/>
      <c r="J54" s="804"/>
      <c r="K54" s="804"/>
    </row>
    <row r="55" spans="1:11">
      <c r="A55" s="804"/>
      <c r="B55" s="804"/>
      <c r="C55" s="804"/>
      <c r="D55" s="804"/>
      <c r="E55" s="804"/>
      <c r="F55" s="804"/>
      <c r="G55" s="804"/>
      <c r="H55" s="804"/>
      <c r="I55" s="804"/>
      <c r="J55" s="804"/>
      <c r="K55" s="804"/>
    </row>
    <row r="56" spans="1:11" ht="12" customHeight="1">
      <c r="A56" s="804"/>
      <c r="B56" s="804"/>
      <c r="C56" s="804"/>
      <c r="D56" s="804"/>
      <c r="E56" s="804"/>
      <c r="F56" s="804"/>
      <c r="G56" s="804"/>
      <c r="H56" s="804"/>
      <c r="I56" s="804"/>
      <c r="J56" s="804"/>
      <c r="K56" s="804"/>
    </row>
    <row r="57" spans="1:11" hidden="1">
      <c r="A57" s="804"/>
      <c r="B57" s="804"/>
      <c r="C57" s="804"/>
      <c r="D57" s="804"/>
      <c r="E57" s="804"/>
      <c r="F57" s="804"/>
      <c r="G57" s="804"/>
      <c r="H57" s="804"/>
      <c r="I57" s="804"/>
      <c r="J57" s="804"/>
      <c r="K57" s="804"/>
    </row>
    <row r="58" spans="1:11" ht="3" hidden="1" customHeight="1">
      <c r="A58" s="804"/>
      <c r="B58" s="804"/>
      <c r="C58" s="804"/>
      <c r="D58" s="804"/>
      <c r="E58" s="804"/>
      <c r="F58" s="804"/>
      <c r="G58" s="804"/>
      <c r="H58" s="804"/>
      <c r="I58" s="804"/>
      <c r="J58" s="804"/>
      <c r="K58" s="804"/>
    </row>
    <row r="59" spans="1:11" ht="15" customHeight="1">
      <c r="A59" s="804"/>
      <c r="B59" s="804"/>
      <c r="C59" s="804"/>
      <c r="D59" s="804"/>
      <c r="E59" s="804"/>
      <c r="F59" s="804"/>
      <c r="G59" s="804"/>
      <c r="H59" s="804"/>
      <c r="I59" s="804"/>
      <c r="J59" s="804"/>
      <c r="K59" s="804"/>
    </row>
    <row r="60" spans="1:11" ht="16.5">
      <c r="A60" s="770" t="s">
        <v>1301</v>
      </c>
      <c r="B60" s="769"/>
      <c r="C60" s="769"/>
      <c r="D60" s="769"/>
      <c r="E60" s="769"/>
      <c r="F60" s="769"/>
      <c r="G60" s="769"/>
      <c r="H60" s="769"/>
      <c r="I60" s="769"/>
      <c r="J60" s="769"/>
      <c r="K60" s="769"/>
    </row>
    <row r="61" spans="1:11">
      <c r="A61" s="805" t="s">
        <v>1308</v>
      </c>
      <c r="B61" s="805"/>
      <c r="C61" s="805"/>
      <c r="D61" s="805"/>
      <c r="E61" s="805"/>
      <c r="F61" s="805"/>
      <c r="G61" s="805"/>
      <c r="H61" s="805"/>
      <c r="I61" s="805"/>
      <c r="J61" s="805"/>
      <c r="K61" s="805"/>
    </row>
    <row r="62" spans="1:11" ht="38.25" customHeight="1">
      <c r="A62" s="805"/>
      <c r="B62" s="805"/>
      <c r="C62" s="805"/>
      <c r="D62" s="805"/>
      <c r="E62" s="805"/>
      <c r="F62" s="805"/>
      <c r="G62" s="805"/>
      <c r="H62" s="805"/>
      <c r="I62" s="805"/>
      <c r="J62" s="805"/>
      <c r="K62" s="805"/>
    </row>
    <row r="63" spans="1:11" ht="16.5">
      <c r="A63" s="770" t="s">
        <v>1302</v>
      </c>
      <c r="B63" s="771"/>
      <c r="C63" s="771"/>
      <c r="D63" s="771"/>
      <c r="E63" s="771"/>
      <c r="F63" s="771"/>
      <c r="G63" s="771"/>
      <c r="H63" s="771"/>
      <c r="I63" s="771"/>
      <c r="J63" s="771"/>
      <c r="K63" s="771"/>
    </row>
    <row r="64" spans="1:11">
      <c r="A64" s="804" t="s">
        <v>1303</v>
      </c>
      <c r="B64" s="804"/>
      <c r="C64" s="804"/>
      <c r="D64" s="804"/>
      <c r="E64" s="804"/>
      <c r="F64" s="804"/>
      <c r="G64" s="804"/>
      <c r="H64" s="804"/>
      <c r="I64" s="804"/>
      <c r="J64" s="804"/>
      <c r="K64" s="804"/>
    </row>
    <row r="65" spans="1:11">
      <c r="A65" s="804"/>
      <c r="B65" s="804"/>
      <c r="C65" s="804"/>
      <c r="D65" s="804"/>
      <c r="E65" s="804"/>
      <c r="F65" s="804"/>
      <c r="G65" s="804"/>
      <c r="H65" s="804"/>
      <c r="I65" s="804"/>
      <c r="J65" s="804"/>
      <c r="K65" s="804"/>
    </row>
    <row r="66" spans="1:11">
      <c r="A66" s="804"/>
      <c r="B66" s="804"/>
      <c r="C66" s="804"/>
      <c r="D66" s="804"/>
      <c r="E66" s="804"/>
      <c r="F66" s="804"/>
      <c r="G66" s="804"/>
      <c r="H66" s="804"/>
      <c r="I66" s="804"/>
      <c r="J66" s="804"/>
      <c r="K66" s="804"/>
    </row>
    <row r="67" spans="1:11">
      <c r="A67" s="804"/>
      <c r="B67" s="804"/>
      <c r="C67" s="804"/>
      <c r="D67" s="804"/>
      <c r="E67" s="804"/>
      <c r="F67" s="804"/>
      <c r="G67" s="804"/>
      <c r="H67" s="804"/>
      <c r="I67" s="804"/>
      <c r="J67" s="804"/>
      <c r="K67" s="804"/>
    </row>
    <row r="68" spans="1:11">
      <c r="A68" s="804"/>
      <c r="B68" s="804"/>
      <c r="C68" s="804"/>
      <c r="D68" s="804"/>
      <c r="E68" s="804"/>
      <c r="F68" s="804"/>
      <c r="G68" s="804"/>
      <c r="H68" s="804"/>
      <c r="I68" s="804"/>
      <c r="J68" s="804"/>
      <c r="K68" s="804"/>
    </row>
    <row r="69" spans="1:11" ht="9" customHeight="1">
      <c r="A69" s="804"/>
      <c r="B69" s="804"/>
      <c r="C69" s="804"/>
      <c r="D69" s="804"/>
      <c r="E69" s="804"/>
      <c r="F69" s="804"/>
      <c r="G69" s="804"/>
      <c r="H69" s="804"/>
      <c r="I69" s="804"/>
      <c r="J69" s="804"/>
      <c r="K69" s="804"/>
    </row>
    <row r="70" spans="1:11" ht="9" hidden="1" customHeight="1">
      <c r="A70" s="804"/>
      <c r="B70" s="804"/>
      <c r="C70" s="804"/>
      <c r="D70" s="804"/>
      <c r="E70" s="804"/>
      <c r="F70" s="804"/>
      <c r="G70" s="804"/>
      <c r="H70" s="804"/>
      <c r="I70" s="804"/>
      <c r="J70" s="804"/>
      <c r="K70" s="804"/>
    </row>
    <row r="71" spans="1:11" hidden="1">
      <c r="A71" s="804"/>
      <c r="B71" s="804"/>
      <c r="C71" s="804"/>
      <c r="D71" s="804"/>
      <c r="E71" s="804"/>
      <c r="F71" s="804"/>
      <c r="G71" s="804"/>
      <c r="H71" s="804"/>
      <c r="I71" s="804"/>
      <c r="J71" s="804"/>
      <c r="K71" s="804"/>
    </row>
    <row r="72" spans="1:11" ht="16.5">
      <c r="A72" s="769"/>
      <c r="B72" s="769"/>
      <c r="C72" s="769"/>
      <c r="D72" s="769"/>
      <c r="E72" s="769"/>
      <c r="F72" s="769"/>
      <c r="G72" s="769"/>
      <c r="H72" s="769"/>
      <c r="I72" s="769"/>
      <c r="J72" s="769"/>
      <c r="K72" s="769"/>
    </row>
    <row r="73" spans="1:11">
      <c r="A73" s="806" t="s">
        <v>1304</v>
      </c>
      <c r="B73" s="806"/>
      <c r="C73" s="806"/>
      <c r="D73" s="806"/>
      <c r="E73" s="806"/>
      <c r="F73" s="806"/>
      <c r="G73" s="806"/>
      <c r="H73" s="806"/>
      <c r="I73" s="806"/>
      <c r="J73" s="806"/>
      <c r="K73" s="806"/>
    </row>
    <row r="74" spans="1:11">
      <c r="A74" s="806"/>
      <c r="B74" s="806"/>
      <c r="C74" s="806"/>
      <c r="D74" s="806"/>
      <c r="E74" s="806"/>
      <c r="F74" s="806"/>
      <c r="G74" s="806"/>
      <c r="H74" s="806"/>
      <c r="I74" s="806"/>
      <c r="J74" s="806"/>
      <c r="K74" s="806"/>
    </row>
    <row r="128" spans="7:7">
      <c r="G128" s="645">
        <v>0</v>
      </c>
    </row>
    <row r="129" spans="7:7">
      <c r="G129" s="645">
        <v>0</v>
      </c>
    </row>
    <row r="148" spans="7:7">
      <c r="G148" s="645">
        <v>0</v>
      </c>
    </row>
    <row r="495" ht="9.75" customHeight="1"/>
    <row r="522" ht="12" customHeight="1"/>
    <row r="529" ht="9.75" customHeight="1"/>
  </sheetData>
  <mergeCells count="12">
    <mergeCell ref="A50:K59"/>
    <mergeCell ref="A61:K62"/>
    <mergeCell ref="A64:K71"/>
    <mergeCell ref="A73:K74"/>
    <mergeCell ref="A40:K40"/>
    <mergeCell ref="A39:K39"/>
    <mergeCell ref="A46:K47"/>
    <mergeCell ref="I6:K6"/>
    <mergeCell ref="A1:K1"/>
    <mergeCell ref="A3:K3"/>
    <mergeCell ref="A4:K4"/>
    <mergeCell ref="G6:G7"/>
  </mergeCells>
  <pageMargins left="1.1299999999999999" right="0.48" top="0.46" bottom="0.54" header="0.18" footer="0.31"/>
  <pageSetup paperSize="9" scale="93" firstPageNumber="5" orientation="portrait" useFirstPageNumber="1" r:id="rId1"/>
  <headerFooter>
    <oddFooter>&amp;C4</oddFooter>
  </headerFooter>
</worksheet>
</file>

<file path=xl/worksheets/sheet5.xml><?xml version="1.0" encoding="utf-8"?>
<worksheet xmlns="http://schemas.openxmlformats.org/spreadsheetml/2006/main" xmlns:r="http://schemas.openxmlformats.org/officeDocument/2006/relationships">
  <dimension ref="A1:M270"/>
  <sheetViews>
    <sheetView view="pageBreakPreview" topLeftCell="A244" zoomScaleSheetLayoutView="100" workbookViewId="0">
      <selection activeCell="B243" sqref="B243:I260"/>
    </sheetView>
  </sheetViews>
  <sheetFormatPr defaultRowHeight="15"/>
  <cols>
    <col min="1" max="1" width="5.140625" style="364" customWidth="1"/>
    <col min="2" max="2" width="9.140625" style="364"/>
    <col min="3" max="3" width="9.85546875" style="364" customWidth="1"/>
    <col min="4" max="4" width="18" style="364" customWidth="1"/>
    <col min="5" max="5" width="13.140625" style="364" bestFit="1" customWidth="1"/>
    <col min="6" max="6" width="16" style="364" bestFit="1" customWidth="1"/>
    <col min="7" max="7" width="1.140625" style="364" customWidth="1"/>
    <col min="8" max="8" width="5.85546875" style="364" bestFit="1" customWidth="1"/>
    <col min="9" max="9" width="11" style="364" customWidth="1"/>
    <col min="10" max="10" width="2.42578125" style="364" customWidth="1"/>
    <col min="11" max="12" width="9.140625" style="364"/>
    <col min="13" max="13" width="20" style="364" customWidth="1"/>
    <col min="14" max="16384" width="9.140625" style="364"/>
  </cols>
  <sheetData>
    <row r="1" spans="1:10" s="353" customFormat="1">
      <c r="A1" s="817" t="s">
        <v>0</v>
      </c>
      <c r="B1" s="817"/>
      <c r="C1" s="817"/>
      <c r="D1" s="817"/>
      <c r="E1" s="817"/>
      <c r="F1" s="817"/>
      <c r="G1" s="817"/>
      <c r="H1" s="817"/>
      <c r="I1" s="817"/>
      <c r="J1" s="817"/>
    </row>
    <row r="2" spans="1:10" s="353" customFormat="1" ht="15" hidden="1" customHeight="1">
      <c r="A2" s="808"/>
      <c r="B2" s="808"/>
      <c r="C2" s="808"/>
      <c r="D2" s="808"/>
      <c r="E2" s="808"/>
      <c r="F2" s="808"/>
      <c r="G2" s="808"/>
      <c r="H2" s="808"/>
      <c r="I2" s="808"/>
      <c r="J2" s="808"/>
    </row>
    <row r="3" spans="1:10" s="353" customFormat="1">
      <c r="A3" s="808" t="s">
        <v>373</v>
      </c>
      <c r="B3" s="808"/>
      <c r="C3" s="808"/>
      <c r="D3" s="808"/>
      <c r="E3" s="808"/>
      <c r="F3" s="808"/>
      <c r="G3" s="808"/>
      <c r="H3" s="808"/>
      <c r="I3" s="808"/>
      <c r="J3" s="808"/>
    </row>
    <row r="4" spans="1:10" s="353" customFormat="1">
      <c r="A4" s="818" t="s">
        <v>1083</v>
      </c>
      <c r="B4" s="818"/>
      <c r="C4" s="818"/>
      <c r="D4" s="818"/>
      <c r="E4" s="818"/>
      <c r="F4" s="818"/>
      <c r="G4" s="818"/>
      <c r="H4" s="818"/>
      <c r="I4" s="818"/>
      <c r="J4" s="818"/>
    </row>
    <row r="6" spans="1:10">
      <c r="A6" s="369" t="s">
        <v>640</v>
      </c>
      <c r="B6" s="364" t="s">
        <v>607</v>
      </c>
    </row>
    <row r="7" spans="1:10" ht="14.25" customHeight="1">
      <c r="B7" s="809" t="s">
        <v>752</v>
      </c>
      <c r="C7" s="809"/>
      <c r="D7" s="809"/>
      <c r="E7" s="809"/>
      <c r="F7" s="809"/>
      <c r="G7" s="809"/>
      <c r="H7" s="809"/>
      <c r="I7" s="809"/>
      <c r="J7" s="809"/>
    </row>
    <row r="8" spans="1:10">
      <c r="B8" s="809"/>
      <c r="C8" s="809"/>
      <c r="D8" s="809"/>
      <c r="E8" s="809"/>
      <c r="F8" s="809"/>
      <c r="G8" s="809"/>
      <c r="H8" s="809"/>
      <c r="I8" s="809"/>
      <c r="J8" s="809"/>
    </row>
    <row r="9" spans="1:10">
      <c r="B9" s="809"/>
      <c r="C9" s="809"/>
      <c r="D9" s="809"/>
      <c r="E9" s="809"/>
      <c r="F9" s="809"/>
      <c r="G9" s="809"/>
      <c r="H9" s="809"/>
      <c r="I9" s="809"/>
      <c r="J9" s="809"/>
    </row>
    <row r="10" spans="1:10">
      <c r="B10" s="809"/>
      <c r="C10" s="809"/>
      <c r="D10" s="809"/>
      <c r="E10" s="809"/>
      <c r="F10" s="809"/>
      <c r="G10" s="809"/>
      <c r="H10" s="809"/>
      <c r="I10" s="809"/>
      <c r="J10" s="809"/>
    </row>
    <row r="11" spans="1:10">
      <c r="B11" s="809"/>
      <c r="C11" s="809"/>
      <c r="D11" s="809"/>
      <c r="E11" s="809"/>
      <c r="F11" s="809"/>
      <c r="G11" s="809"/>
      <c r="H11" s="809"/>
      <c r="I11" s="809"/>
      <c r="J11" s="809"/>
    </row>
    <row r="12" spans="1:10">
      <c r="B12" s="809"/>
      <c r="C12" s="809"/>
      <c r="D12" s="809"/>
      <c r="E12" s="809"/>
      <c r="F12" s="809"/>
      <c r="G12" s="809"/>
      <c r="H12" s="809"/>
      <c r="I12" s="809"/>
      <c r="J12" s="809"/>
    </row>
    <row r="13" spans="1:10">
      <c r="B13" s="809"/>
      <c r="C13" s="809"/>
      <c r="D13" s="809"/>
      <c r="E13" s="809"/>
      <c r="F13" s="809"/>
      <c r="G13" s="809"/>
      <c r="H13" s="809"/>
      <c r="I13" s="809"/>
      <c r="J13" s="809"/>
    </row>
    <row r="14" spans="1:10">
      <c r="B14" s="809"/>
      <c r="C14" s="809"/>
      <c r="D14" s="809"/>
      <c r="E14" s="809"/>
      <c r="F14" s="809"/>
      <c r="G14" s="809"/>
      <c r="H14" s="809"/>
      <c r="I14" s="809"/>
      <c r="J14" s="809"/>
    </row>
    <row r="15" spans="1:10" ht="20.25" customHeight="1">
      <c r="B15" s="809"/>
      <c r="C15" s="809"/>
      <c r="D15" s="809"/>
      <c r="E15" s="809"/>
      <c r="F15" s="809"/>
      <c r="G15" s="809"/>
      <c r="H15" s="809"/>
      <c r="I15" s="809"/>
      <c r="J15" s="809"/>
    </row>
    <row r="16" spans="1:10" ht="9" customHeight="1">
      <c r="B16" s="419"/>
      <c r="C16" s="419"/>
      <c r="D16" s="419"/>
      <c r="E16" s="419"/>
      <c r="F16" s="419"/>
      <c r="G16" s="419"/>
      <c r="H16" s="419"/>
      <c r="I16" s="419"/>
      <c r="J16" s="419"/>
    </row>
    <row r="17" spans="1:10">
      <c r="B17" s="809" t="s">
        <v>1027</v>
      </c>
      <c r="C17" s="809"/>
      <c r="D17" s="809"/>
      <c r="E17" s="809"/>
      <c r="F17" s="809"/>
      <c r="G17" s="809"/>
      <c r="H17" s="809"/>
      <c r="I17" s="809"/>
      <c r="J17" s="809"/>
    </row>
    <row r="18" spans="1:10">
      <c r="B18" s="809"/>
      <c r="C18" s="809"/>
      <c r="D18" s="809"/>
      <c r="E18" s="809"/>
      <c r="F18" s="809"/>
      <c r="G18" s="809"/>
      <c r="H18" s="809"/>
      <c r="I18" s="809"/>
      <c r="J18" s="809"/>
    </row>
    <row r="19" spans="1:10">
      <c r="B19" s="809"/>
      <c r="C19" s="809"/>
      <c r="D19" s="809"/>
      <c r="E19" s="809"/>
      <c r="F19" s="809"/>
      <c r="G19" s="809"/>
      <c r="H19" s="809"/>
      <c r="I19" s="809"/>
      <c r="J19" s="809"/>
    </row>
    <row r="20" spans="1:10">
      <c r="B20" s="809"/>
      <c r="C20" s="809"/>
      <c r="D20" s="809"/>
      <c r="E20" s="809"/>
      <c r="F20" s="809"/>
      <c r="G20" s="809"/>
      <c r="H20" s="809"/>
      <c r="I20" s="809"/>
      <c r="J20" s="809"/>
    </row>
    <row r="21" spans="1:10">
      <c r="B21" s="809"/>
      <c r="C21" s="809"/>
      <c r="D21" s="809"/>
      <c r="E21" s="809"/>
      <c r="F21" s="809"/>
      <c r="G21" s="809"/>
      <c r="H21" s="809"/>
      <c r="I21" s="809"/>
      <c r="J21" s="809"/>
    </row>
    <row r="22" spans="1:10" ht="33.75" customHeight="1">
      <c r="B22" s="809"/>
      <c r="C22" s="809"/>
      <c r="D22" s="809"/>
      <c r="E22" s="809"/>
      <c r="F22" s="809"/>
      <c r="G22" s="809"/>
      <c r="H22" s="809"/>
      <c r="I22" s="809"/>
      <c r="J22" s="809"/>
    </row>
    <row r="23" spans="1:10" ht="3.75" customHeight="1">
      <c r="B23" s="419"/>
      <c r="C23" s="419"/>
      <c r="D23" s="419"/>
      <c r="E23" s="419"/>
      <c r="F23" s="419"/>
      <c r="G23" s="419"/>
      <c r="H23" s="419"/>
      <c r="I23" s="419"/>
      <c r="J23" s="419"/>
    </row>
    <row r="24" spans="1:10" ht="14.25" customHeight="1">
      <c r="B24" s="809" t="s">
        <v>592</v>
      </c>
      <c r="C24" s="809"/>
      <c r="D24" s="809"/>
      <c r="E24" s="809"/>
      <c r="F24" s="809"/>
      <c r="G24" s="809"/>
      <c r="H24" s="809"/>
      <c r="I24" s="809"/>
      <c r="J24" s="809"/>
    </row>
    <row r="25" spans="1:10" ht="19.5" customHeight="1">
      <c r="B25" s="809"/>
      <c r="C25" s="809"/>
      <c r="D25" s="809"/>
      <c r="E25" s="809"/>
      <c r="F25" s="809"/>
      <c r="G25" s="809"/>
      <c r="H25" s="809"/>
      <c r="I25" s="809"/>
      <c r="J25" s="809"/>
    </row>
    <row r="26" spans="1:10" ht="6" customHeight="1">
      <c r="B26" s="419"/>
      <c r="C26" s="419"/>
      <c r="D26" s="419"/>
      <c r="E26" s="419"/>
      <c r="F26" s="419"/>
      <c r="G26" s="419"/>
      <c r="H26" s="419"/>
      <c r="I26" s="419"/>
      <c r="J26" s="419"/>
    </row>
    <row r="27" spans="1:10">
      <c r="A27" s="369" t="s">
        <v>641</v>
      </c>
      <c r="B27" s="364" t="s">
        <v>647</v>
      </c>
      <c r="C27" s="420"/>
      <c r="D27" s="420"/>
    </row>
    <row r="28" spans="1:10" ht="7.5" customHeight="1">
      <c r="A28" s="369"/>
      <c r="B28" s="420"/>
      <c r="C28" s="420"/>
      <c r="D28" s="420"/>
    </row>
    <row r="29" spans="1:10">
      <c r="A29" s="369" t="s">
        <v>593</v>
      </c>
      <c r="B29" s="420" t="s">
        <v>594</v>
      </c>
      <c r="C29" s="420"/>
      <c r="D29" s="420"/>
    </row>
    <row r="30" spans="1:10" ht="14.25" customHeight="1">
      <c r="B30" s="809" t="s">
        <v>1191</v>
      </c>
      <c r="C30" s="809"/>
      <c r="D30" s="809"/>
      <c r="E30" s="809"/>
      <c r="F30" s="809"/>
      <c r="G30" s="809"/>
      <c r="H30" s="809"/>
      <c r="I30" s="809"/>
      <c r="J30" s="809"/>
    </row>
    <row r="31" spans="1:10" ht="35.25" customHeight="1">
      <c r="B31" s="809"/>
      <c r="C31" s="809"/>
      <c r="D31" s="809"/>
      <c r="E31" s="809"/>
      <c r="F31" s="809"/>
      <c r="G31" s="809"/>
      <c r="H31" s="809"/>
      <c r="I31" s="809"/>
      <c r="J31" s="809"/>
    </row>
    <row r="32" spans="1:10" ht="4.5" customHeight="1">
      <c r="B32" s="419"/>
      <c r="C32" s="419"/>
      <c r="D32" s="419"/>
      <c r="E32" s="419"/>
      <c r="F32" s="419"/>
      <c r="G32" s="419"/>
      <c r="H32" s="419"/>
      <c r="I32" s="419"/>
      <c r="J32" s="419"/>
    </row>
    <row r="33" spans="1:10" ht="14.45" customHeight="1">
      <c r="B33" s="808" t="s">
        <v>1105</v>
      </c>
      <c r="C33" s="808"/>
      <c r="D33" s="808"/>
      <c r="E33" s="808"/>
      <c r="F33" s="808"/>
      <c r="G33" s="808"/>
      <c r="H33" s="808"/>
      <c r="I33" s="808"/>
      <c r="J33" s="808"/>
    </row>
    <row r="34" spans="1:10" ht="12.75" customHeight="1">
      <c r="B34" s="808"/>
      <c r="C34" s="808"/>
      <c r="D34" s="808"/>
      <c r="E34" s="808"/>
      <c r="F34" s="808"/>
      <c r="G34" s="808"/>
      <c r="H34" s="808"/>
      <c r="I34" s="808"/>
      <c r="J34" s="808"/>
    </row>
    <row r="35" spans="1:10" ht="4.5" customHeight="1">
      <c r="B35" s="808"/>
      <c r="C35" s="808"/>
      <c r="D35" s="808"/>
      <c r="E35" s="808"/>
      <c r="F35" s="808"/>
      <c r="G35" s="808"/>
      <c r="H35" s="808"/>
      <c r="I35" s="808"/>
      <c r="J35" s="808"/>
    </row>
    <row r="36" spans="1:10" ht="5.25" customHeight="1">
      <c r="B36" s="419"/>
      <c r="C36" s="419"/>
      <c r="D36" s="419"/>
      <c r="E36" s="419"/>
      <c r="F36" s="419"/>
      <c r="G36" s="419"/>
      <c r="H36" s="419"/>
      <c r="I36" s="419"/>
      <c r="J36" s="419"/>
    </row>
    <row r="37" spans="1:10" ht="14.45" customHeight="1">
      <c r="A37" s="369" t="s">
        <v>595</v>
      </c>
      <c r="B37" s="364" t="s">
        <v>596</v>
      </c>
    </row>
    <row r="38" spans="1:10" ht="14.45" customHeight="1">
      <c r="B38" s="809" t="s">
        <v>1208</v>
      </c>
      <c r="C38" s="809"/>
      <c r="D38" s="809"/>
      <c r="E38" s="809"/>
      <c r="F38" s="809"/>
      <c r="G38" s="809"/>
      <c r="H38" s="809"/>
      <c r="I38" s="809"/>
      <c r="J38" s="809"/>
    </row>
    <row r="39" spans="1:10" ht="33.75" customHeight="1">
      <c r="B39" s="809"/>
      <c r="C39" s="809"/>
      <c r="D39" s="809"/>
      <c r="E39" s="809"/>
      <c r="F39" s="809"/>
      <c r="G39" s="809"/>
      <c r="H39" s="809"/>
      <c r="I39" s="809"/>
      <c r="J39" s="809"/>
    </row>
    <row r="40" spans="1:10" ht="3" customHeight="1">
      <c r="B40" s="419"/>
      <c r="C40" s="419"/>
      <c r="D40" s="419"/>
      <c r="E40" s="419"/>
      <c r="F40" s="419"/>
      <c r="G40" s="419"/>
      <c r="H40" s="419"/>
      <c r="I40" s="419"/>
      <c r="J40" s="419"/>
    </row>
    <row r="41" spans="1:10">
      <c r="B41" s="364" t="s">
        <v>597</v>
      </c>
    </row>
    <row r="42" spans="1:10">
      <c r="B42" s="809" t="s">
        <v>598</v>
      </c>
      <c r="C42" s="809"/>
      <c r="D42" s="809"/>
      <c r="E42" s="809"/>
      <c r="F42" s="809"/>
      <c r="G42" s="809"/>
      <c r="H42" s="809"/>
      <c r="I42" s="809"/>
    </row>
    <row r="43" spans="1:10" ht="6" customHeight="1"/>
    <row r="44" spans="1:10">
      <c r="A44" s="369" t="s">
        <v>599</v>
      </c>
      <c r="B44" s="364" t="s">
        <v>600</v>
      </c>
    </row>
    <row r="45" spans="1:10" ht="16.5" customHeight="1">
      <c r="B45" s="809" t="s">
        <v>751</v>
      </c>
      <c r="C45" s="809"/>
      <c r="D45" s="809"/>
      <c r="E45" s="809"/>
      <c r="F45" s="809"/>
      <c r="G45" s="809"/>
      <c r="H45" s="809"/>
      <c r="I45" s="809"/>
      <c r="J45" s="809"/>
    </row>
    <row r="46" spans="1:10" ht="15.75" customHeight="1">
      <c r="B46" s="809"/>
      <c r="C46" s="809"/>
      <c r="D46" s="809"/>
      <c r="E46" s="809"/>
      <c r="F46" s="809"/>
      <c r="G46" s="809"/>
      <c r="H46" s="809"/>
      <c r="I46" s="809"/>
      <c r="J46" s="809"/>
    </row>
    <row r="47" spans="1:10" ht="3" customHeight="1">
      <c r="B47" s="419"/>
      <c r="C47" s="419"/>
      <c r="D47" s="419"/>
      <c r="E47" s="419"/>
      <c r="F47" s="419"/>
      <c r="G47" s="419"/>
      <c r="H47" s="419"/>
      <c r="I47" s="419"/>
      <c r="J47" s="419"/>
    </row>
    <row r="48" spans="1:10">
      <c r="A48" s="369" t="s">
        <v>601</v>
      </c>
      <c r="B48" s="364" t="s">
        <v>648</v>
      </c>
    </row>
    <row r="49" spans="2:10">
      <c r="B49" s="809" t="s">
        <v>649</v>
      </c>
      <c r="C49" s="809"/>
      <c r="D49" s="809"/>
      <c r="E49" s="809"/>
      <c r="F49" s="809"/>
      <c r="G49" s="809"/>
      <c r="H49" s="809"/>
      <c r="I49" s="809"/>
      <c r="J49" s="809"/>
    </row>
    <row r="50" spans="2:10">
      <c r="B50" s="809"/>
      <c r="C50" s="809"/>
      <c r="D50" s="809"/>
      <c r="E50" s="809"/>
      <c r="F50" s="809"/>
      <c r="G50" s="809"/>
      <c r="H50" s="809"/>
      <c r="I50" s="809"/>
      <c r="J50" s="809"/>
    </row>
    <row r="51" spans="2:10" ht="18.75" customHeight="1">
      <c r="B51" s="809"/>
      <c r="C51" s="809"/>
      <c r="D51" s="809"/>
      <c r="E51" s="809"/>
      <c r="F51" s="809"/>
      <c r="G51" s="809"/>
      <c r="H51" s="809"/>
      <c r="I51" s="809"/>
      <c r="J51" s="809"/>
    </row>
    <row r="52" spans="2:10" ht="6.75" customHeight="1">
      <c r="B52" s="419"/>
      <c r="C52" s="419"/>
      <c r="D52" s="419"/>
      <c r="E52" s="419"/>
      <c r="F52" s="419"/>
      <c r="G52" s="419"/>
      <c r="H52" s="419"/>
      <c r="I52" s="419"/>
    </row>
    <row r="53" spans="2:10">
      <c r="B53" s="809" t="s">
        <v>621</v>
      </c>
      <c r="C53" s="809"/>
      <c r="D53" s="809"/>
      <c r="E53" s="809"/>
      <c r="F53" s="809"/>
      <c r="G53" s="809"/>
      <c r="H53" s="809"/>
      <c r="I53" s="809"/>
      <c r="J53" s="809"/>
    </row>
    <row r="54" spans="2:10">
      <c r="B54" s="809"/>
      <c r="C54" s="809"/>
      <c r="D54" s="809"/>
      <c r="E54" s="809"/>
      <c r="F54" s="809"/>
      <c r="G54" s="809"/>
      <c r="H54" s="809"/>
      <c r="I54" s="809"/>
      <c r="J54" s="809"/>
    </row>
    <row r="55" spans="2:10" ht="29.25" customHeight="1">
      <c r="B55" s="809"/>
      <c r="C55" s="809"/>
      <c r="D55" s="809"/>
      <c r="E55" s="809"/>
      <c r="F55" s="809"/>
      <c r="G55" s="809"/>
      <c r="H55" s="809"/>
      <c r="I55" s="809"/>
      <c r="J55" s="809"/>
    </row>
    <row r="56" spans="2:10" ht="3" customHeight="1">
      <c r="B56" s="419"/>
      <c r="C56" s="419"/>
      <c r="D56" s="419"/>
      <c r="E56" s="419"/>
      <c r="F56" s="419"/>
      <c r="G56" s="419"/>
      <c r="H56" s="419"/>
      <c r="I56" s="419"/>
      <c r="J56" s="419"/>
    </row>
    <row r="57" spans="2:10" ht="31.5" customHeight="1">
      <c r="B57" s="809" t="s">
        <v>602</v>
      </c>
      <c r="C57" s="809"/>
      <c r="D57" s="809"/>
      <c r="E57" s="809"/>
      <c r="F57" s="809"/>
      <c r="G57" s="809"/>
      <c r="H57" s="809"/>
      <c r="I57" s="809"/>
      <c r="J57" s="809"/>
    </row>
    <row r="58" spans="2:10">
      <c r="B58" s="809"/>
      <c r="C58" s="809"/>
      <c r="D58" s="809"/>
      <c r="E58" s="809"/>
      <c r="F58" s="809"/>
      <c r="G58" s="809"/>
      <c r="H58" s="809"/>
      <c r="I58" s="809"/>
      <c r="J58" s="809"/>
    </row>
    <row r="59" spans="2:10" ht="5.25" customHeight="1">
      <c r="B59" s="419"/>
      <c r="C59" s="419"/>
      <c r="D59" s="419"/>
      <c r="E59" s="419"/>
      <c r="F59" s="419"/>
      <c r="G59" s="419"/>
      <c r="H59" s="419"/>
      <c r="I59" s="419"/>
      <c r="J59" s="419"/>
    </row>
    <row r="60" spans="2:10">
      <c r="B60" s="364" t="s">
        <v>708</v>
      </c>
      <c r="C60" s="383" t="s">
        <v>603</v>
      </c>
    </row>
    <row r="61" spans="2:10" ht="34.5" customHeight="1">
      <c r="B61" s="395" t="s">
        <v>1192</v>
      </c>
      <c r="C61" s="809" t="s">
        <v>604</v>
      </c>
      <c r="D61" s="809"/>
      <c r="E61" s="809"/>
      <c r="F61" s="809"/>
      <c r="G61" s="809"/>
      <c r="H61" s="809"/>
      <c r="I61" s="809"/>
      <c r="J61" s="809"/>
    </row>
    <row r="62" spans="2:10">
      <c r="B62" s="364" t="s">
        <v>1193</v>
      </c>
      <c r="C62" s="380" t="s">
        <v>39</v>
      </c>
    </row>
    <row r="63" spans="2:10">
      <c r="B63" s="364" t="s">
        <v>1194</v>
      </c>
      <c r="C63" s="353" t="s">
        <v>605</v>
      </c>
    </row>
    <row r="64" spans="2:10">
      <c r="B64" s="364" t="s">
        <v>777</v>
      </c>
      <c r="C64" s="353" t="s">
        <v>566</v>
      </c>
    </row>
    <row r="65" spans="1:10" ht="3.75" customHeight="1"/>
    <row r="66" spans="1:10">
      <c r="A66" s="369" t="s">
        <v>642</v>
      </c>
      <c r="B66" s="364" t="s">
        <v>374</v>
      </c>
    </row>
    <row r="67" spans="1:10">
      <c r="A67" s="369"/>
      <c r="B67" s="809" t="s">
        <v>1026</v>
      </c>
      <c r="C67" s="809"/>
      <c r="D67" s="809"/>
      <c r="E67" s="809"/>
      <c r="F67" s="809"/>
      <c r="G67" s="809"/>
      <c r="H67" s="809"/>
      <c r="I67" s="809"/>
      <c r="J67" s="809"/>
    </row>
    <row r="68" spans="1:10" ht="31.5" customHeight="1">
      <c r="A68" s="369"/>
      <c r="B68" s="809"/>
      <c r="C68" s="809"/>
      <c r="D68" s="809"/>
      <c r="E68" s="809"/>
      <c r="F68" s="809"/>
      <c r="G68" s="809"/>
      <c r="H68" s="809"/>
      <c r="I68" s="809"/>
      <c r="J68" s="809"/>
    </row>
    <row r="69" spans="1:10" ht="4.5" hidden="1" customHeight="1">
      <c r="A69" s="369"/>
      <c r="B69" s="409"/>
      <c r="C69" s="409"/>
      <c r="D69" s="409"/>
      <c r="E69" s="409"/>
      <c r="F69" s="409"/>
      <c r="G69" s="409"/>
      <c r="H69" s="409"/>
      <c r="I69" s="409"/>
      <c r="J69" s="409"/>
    </row>
    <row r="70" spans="1:10">
      <c r="A70" s="369">
        <f>A66+0.1</f>
        <v>3.1</v>
      </c>
      <c r="B70" s="364" t="s">
        <v>9</v>
      </c>
    </row>
    <row r="71" spans="1:10" ht="19.5" customHeight="1">
      <c r="B71" s="809" t="s">
        <v>1209</v>
      </c>
      <c r="C71" s="809"/>
      <c r="D71" s="809"/>
      <c r="E71" s="809"/>
      <c r="F71" s="809"/>
      <c r="G71" s="809"/>
      <c r="H71" s="809"/>
      <c r="I71" s="809"/>
      <c r="J71" s="809"/>
    </row>
    <row r="72" spans="1:10" ht="41.25" customHeight="1">
      <c r="B72" s="809"/>
      <c r="C72" s="809"/>
      <c r="D72" s="809"/>
      <c r="E72" s="809"/>
      <c r="F72" s="809"/>
      <c r="G72" s="809"/>
      <c r="H72" s="809"/>
      <c r="I72" s="809"/>
      <c r="J72" s="809"/>
    </row>
    <row r="73" spans="1:10" ht="0.75" customHeight="1">
      <c r="B73" s="419"/>
      <c r="C73" s="419"/>
      <c r="D73" s="419"/>
      <c r="E73" s="419"/>
      <c r="F73" s="419"/>
      <c r="G73" s="419"/>
      <c r="H73" s="419"/>
      <c r="I73" s="419"/>
      <c r="J73" s="419"/>
    </row>
    <row r="74" spans="1:10">
      <c r="A74" s="369">
        <f>A70+0.1</f>
        <v>3.2</v>
      </c>
      <c r="B74" s="364" t="s">
        <v>21</v>
      </c>
    </row>
    <row r="75" spans="1:10" ht="16.5" customHeight="1">
      <c r="B75" s="809" t="s">
        <v>1265</v>
      </c>
      <c r="C75" s="809"/>
      <c r="D75" s="809"/>
      <c r="E75" s="809"/>
      <c r="F75" s="809"/>
      <c r="G75" s="809"/>
      <c r="H75" s="809"/>
      <c r="I75" s="809"/>
      <c r="J75" s="809"/>
    </row>
    <row r="76" spans="1:10" ht="60.75" customHeight="1">
      <c r="B76" s="809"/>
      <c r="C76" s="809"/>
      <c r="D76" s="809"/>
      <c r="E76" s="809"/>
      <c r="F76" s="809"/>
      <c r="G76" s="809"/>
      <c r="H76" s="809"/>
      <c r="I76" s="809"/>
      <c r="J76" s="809"/>
    </row>
    <row r="77" spans="1:10" ht="5.25" customHeight="1">
      <c r="B77" s="419"/>
      <c r="C77" s="419"/>
      <c r="D77" s="419"/>
      <c r="E77" s="419"/>
      <c r="F77" s="419"/>
      <c r="G77" s="419"/>
      <c r="H77" s="419"/>
      <c r="I77" s="419"/>
      <c r="J77" s="419"/>
    </row>
    <row r="78" spans="1:10" ht="28.5" customHeight="1">
      <c r="B78" s="808" t="s">
        <v>609</v>
      </c>
      <c r="C78" s="808"/>
      <c r="D78" s="808"/>
      <c r="E78" s="808" t="s">
        <v>825</v>
      </c>
      <c r="F78" s="808"/>
      <c r="G78" s="808" t="s">
        <v>826</v>
      </c>
      <c r="H78" s="808"/>
      <c r="I78" s="808"/>
    </row>
    <row r="79" spans="1:10" ht="15" customHeight="1">
      <c r="B79" s="808" t="s">
        <v>854</v>
      </c>
      <c r="C79" s="808"/>
      <c r="D79" s="808"/>
      <c r="E79" s="808">
        <v>0.1</v>
      </c>
      <c r="F79" s="808"/>
      <c r="G79" s="808" t="s">
        <v>827</v>
      </c>
      <c r="H79" s="808"/>
      <c r="I79" s="808"/>
    </row>
    <row r="80" spans="1:10" ht="15" customHeight="1">
      <c r="B80" s="808" t="s">
        <v>533</v>
      </c>
      <c r="C80" s="808"/>
      <c r="D80" s="808"/>
      <c r="E80" s="808">
        <v>0.1429</v>
      </c>
      <c r="F80" s="808"/>
      <c r="G80" s="808" t="s">
        <v>827</v>
      </c>
      <c r="H80" s="808"/>
      <c r="I80" s="808"/>
    </row>
    <row r="81" spans="2:9" ht="15" customHeight="1">
      <c r="B81" s="808" t="s">
        <v>855</v>
      </c>
      <c r="C81" s="808"/>
      <c r="D81" s="808"/>
      <c r="E81" s="808">
        <v>0.05</v>
      </c>
      <c r="F81" s="808"/>
      <c r="G81" s="808" t="s">
        <v>827</v>
      </c>
      <c r="H81" s="808"/>
      <c r="I81" s="808"/>
    </row>
    <row r="82" spans="2:9" ht="15" customHeight="1">
      <c r="B82" s="808" t="s">
        <v>864</v>
      </c>
      <c r="C82" s="808"/>
      <c r="D82" s="808"/>
      <c r="E82" s="808">
        <v>0.05</v>
      </c>
      <c r="F82" s="808"/>
      <c r="G82" s="808" t="s">
        <v>827</v>
      </c>
      <c r="H82" s="808"/>
      <c r="I82" s="808"/>
    </row>
    <row r="83" spans="2:9" ht="15" customHeight="1">
      <c r="B83" s="814" t="s">
        <v>915</v>
      </c>
      <c r="C83" s="814"/>
      <c r="D83" s="814"/>
      <c r="E83" s="808">
        <v>8.3299999999999999E-2</v>
      </c>
      <c r="F83" s="808"/>
      <c r="G83" s="808" t="s">
        <v>827</v>
      </c>
      <c r="H83" s="808"/>
      <c r="I83" s="808"/>
    </row>
    <row r="84" spans="2:9" ht="15" customHeight="1">
      <c r="B84" s="808" t="s">
        <v>148</v>
      </c>
      <c r="C84" s="808"/>
      <c r="D84" s="808"/>
      <c r="E84" s="808">
        <v>8.3299999999999999E-2</v>
      </c>
      <c r="F84" s="808"/>
      <c r="G84" s="808" t="s">
        <v>827</v>
      </c>
      <c r="H84" s="808"/>
      <c r="I84" s="808"/>
    </row>
    <row r="85" spans="2:9" ht="15" customHeight="1">
      <c r="B85" s="808" t="s">
        <v>149</v>
      </c>
      <c r="C85" s="808"/>
      <c r="D85" s="808"/>
      <c r="E85" s="808">
        <v>8.3299999999999999E-2</v>
      </c>
      <c r="F85" s="808"/>
      <c r="G85" s="808" t="s">
        <v>827</v>
      </c>
      <c r="H85" s="808"/>
      <c r="I85" s="808"/>
    </row>
    <row r="86" spans="2:9" ht="15" customHeight="1">
      <c r="B86" s="808" t="s">
        <v>886</v>
      </c>
      <c r="C86" s="808"/>
      <c r="D86" s="808"/>
      <c r="E86" s="808">
        <v>8.3299999999999999E-2</v>
      </c>
      <c r="F86" s="808"/>
      <c r="G86" s="808" t="s">
        <v>827</v>
      </c>
      <c r="H86" s="808"/>
      <c r="I86" s="808"/>
    </row>
    <row r="87" spans="2:9" ht="15" customHeight="1">
      <c r="B87" s="808" t="s">
        <v>865</v>
      </c>
      <c r="C87" s="808"/>
      <c r="D87" s="808"/>
      <c r="E87" s="808">
        <v>0.05</v>
      </c>
      <c r="F87" s="808"/>
      <c r="G87" s="808" t="s">
        <v>827</v>
      </c>
      <c r="H87" s="808"/>
      <c r="I87" s="808"/>
    </row>
    <row r="88" spans="2:9" ht="15" customHeight="1">
      <c r="B88" s="808" t="s">
        <v>887</v>
      </c>
      <c r="C88" s="808"/>
      <c r="D88" s="808"/>
      <c r="E88" s="808">
        <v>0.1</v>
      </c>
      <c r="F88" s="808"/>
      <c r="G88" s="808" t="s">
        <v>827</v>
      </c>
      <c r="H88" s="808"/>
      <c r="I88" s="808"/>
    </row>
    <row r="89" spans="2:9" ht="15" customHeight="1">
      <c r="B89" s="808" t="s">
        <v>866</v>
      </c>
      <c r="C89" s="808"/>
      <c r="D89" s="808"/>
      <c r="E89" s="808">
        <v>0.05</v>
      </c>
      <c r="F89" s="808"/>
      <c r="G89" s="808" t="s">
        <v>827</v>
      </c>
      <c r="H89" s="808"/>
      <c r="I89" s="808"/>
    </row>
    <row r="90" spans="2:9" ht="15" customHeight="1">
      <c r="B90" s="808" t="s">
        <v>888</v>
      </c>
      <c r="C90" s="808"/>
      <c r="D90" s="808"/>
      <c r="E90" s="808">
        <v>0.1</v>
      </c>
      <c r="F90" s="808"/>
      <c r="G90" s="808" t="s">
        <v>827</v>
      </c>
      <c r="H90" s="808"/>
      <c r="I90" s="808"/>
    </row>
    <row r="91" spans="2:9" ht="15" customHeight="1">
      <c r="B91" s="808" t="s">
        <v>867</v>
      </c>
      <c r="C91" s="808"/>
      <c r="D91" s="808"/>
      <c r="E91" s="808">
        <v>0.05</v>
      </c>
      <c r="F91" s="808"/>
      <c r="G91" s="808" t="s">
        <v>827</v>
      </c>
      <c r="H91" s="808"/>
      <c r="I91" s="808"/>
    </row>
    <row r="92" spans="2:9" ht="15" customHeight="1">
      <c r="B92" s="808" t="s">
        <v>889</v>
      </c>
      <c r="C92" s="808"/>
      <c r="D92" s="808"/>
      <c r="E92" s="808">
        <v>8.3299999999999999E-2</v>
      </c>
      <c r="F92" s="808"/>
      <c r="G92" s="808" t="s">
        <v>827</v>
      </c>
      <c r="H92" s="808"/>
      <c r="I92" s="808"/>
    </row>
    <row r="93" spans="2:9" ht="15" customHeight="1">
      <c r="B93" s="808" t="s">
        <v>868</v>
      </c>
      <c r="C93" s="808"/>
      <c r="D93" s="808"/>
      <c r="E93" s="808">
        <v>0.05</v>
      </c>
      <c r="F93" s="808"/>
      <c r="G93" s="808" t="s">
        <v>827</v>
      </c>
      <c r="H93" s="808"/>
      <c r="I93" s="808"/>
    </row>
    <row r="94" spans="2:9" ht="15" customHeight="1">
      <c r="B94" s="808" t="s">
        <v>890</v>
      </c>
      <c r="C94" s="808"/>
      <c r="D94" s="808"/>
      <c r="E94" s="808">
        <v>0.1</v>
      </c>
      <c r="F94" s="808"/>
      <c r="G94" s="808" t="s">
        <v>827</v>
      </c>
      <c r="H94" s="808"/>
      <c r="I94" s="808"/>
    </row>
    <row r="95" spans="2:9" ht="15" customHeight="1">
      <c r="B95" s="808" t="s">
        <v>869</v>
      </c>
      <c r="C95" s="808"/>
      <c r="D95" s="808"/>
      <c r="E95" s="808">
        <v>0.05</v>
      </c>
      <c r="F95" s="808"/>
      <c r="G95" s="808" t="s">
        <v>827</v>
      </c>
      <c r="H95" s="808"/>
      <c r="I95" s="808"/>
    </row>
    <row r="96" spans="2:9" ht="15" customHeight="1">
      <c r="B96" s="808" t="s">
        <v>155</v>
      </c>
      <c r="C96" s="808"/>
      <c r="D96" s="808"/>
      <c r="E96" s="808">
        <v>0.2</v>
      </c>
      <c r="F96" s="808"/>
      <c r="G96" s="808" t="s">
        <v>828</v>
      </c>
      <c r="H96" s="808"/>
      <c r="I96" s="808"/>
    </row>
    <row r="97" spans="1:10" ht="15" customHeight="1">
      <c r="B97" s="808" t="s">
        <v>156</v>
      </c>
      <c r="C97" s="808"/>
      <c r="D97" s="808"/>
      <c r="E97" s="808">
        <v>0.1</v>
      </c>
      <c r="F97" s="808"/>
      <c r="G97" s="808" t="s">
        <v>828</v>
      </c>
      <c r="H97" s="808"/>
      <c r="I97" s="808"/>
    </row>
    <row r="98" spans="1:10" ht="15" customHeight="1">
      <c r="B98" s="808" t="s">
        <v>891</v>
      </c>
      <c r="C98" s="808"/>
      <c r="D98" s="808"/>
      <c r="E98" s="808">
        <v>0.125</v>
      </c>
      <c r="F98" s="808"/>
      <c r="G98" s="808" t="s">
        <v>827</v>
      </c>
      <c r="H98" s="808"/>
      <c r="I98" s="808"/>
    </row>
    <row r="99" spans="1:10" ht="15" customHeight="1">
      <c r="B99" s="808" t="s">
        <v>870</v>
      </c>
      <c r="C99" s="808"/>
      <c r="D99" s="808"/>
      <c r="E99" s="808">
        <v>0.05</v>
      </c>
      <c r="F99" s="808"/>
      <c r="G99" s="808" t="s">
        <v>827</v>
      </c>
      <c r="H99" s="808"/>
      <c r="I99" s="808"/>
    </row>
    <row r="100" spans="1:10" ht="15" customHeight="1">
      <c r="B100" s="808" t="s">
        <v>650</v>
      </c>
      <c r="C100" s="808"/>
      <c r="D100" s="808"/>
      <c r="E100" s="808">
        <v>0.1</v>
      </c>
      <c r="F100" s="808"/>
      <c r="G100" s="808" t="s">
        <v>828</v>
      </c>
      <c r="H100" s="808"/>
      <c r="I100" s="808"/>
    </row>
    <row r="101" spans="1:10" ht="15" customHeight="1">
      <c r="B101" s="808" t="s">
        <v>1189</v>
      </c>
      <c r="C101" s="808"/>
      <c r="D101" s="808"/>
      <c r="E101" s="808">
        <v>0.2</v>
      </c>
      <c r="F101" s="808"/>
      <c r="G101" s="808" t="s">
        <v>827</v>
      </c>
      <c r="H101" s="808"/>
      <c r="I101" s="808"/>
    </row>
    <row r="102" spans="1:10" ht="15" customHeight="1">
      <c r="B102" s="808" t="s">
        <v>1120</v>
      </c>
      <c r="C102" s="808"/>
      <c r="D102" s="808"/>
      <c r="E102" s="808">
        <v>0.2</v>
      </c>
      <c r="F102" s="808"/>
      <c r="G102" s="808" t="s">
        <v>827</v>
      </c>
      <c r="H102" s="808"/>
      <c r="I102" s="808"/>
    </row>
    <row r="103" spans="1:10" ht="5.25" customHeight="1">
      <c r="B103" s="420"/>
      <c r="E103" s="545"/>
    </row>
    <row r="104" spans="1:10">
      <c r="A104" s="369">
        <f>A74+0.1</f>
        <v>3.3000000000000003</v>
      </c>
      <c r="B104" s="364" t="s">
        <v>375</v>
      </c>
    </row>
    <row r="105" spans="1:10" ht="109.5" customHeight="1">
      <c r="B105" s="809" t="s">
        <v>1222</v>
      </c>
      <c r="C105" s="809"/>
      <c r="D105" s="809"/>
      <c r="E105" s="809"/>
      <c r="F105" s="809"/>
      <c r="G105" s="809"/>
      <c r="H105" s="809"/>
      <c r="I105" s="809"/>
      <c r="J105" s="809"/>
    </row>
    <row r="106" spans="1:10" ht="6.75" customHeight="1">
      <c r="B106" s="419"/>
      <c r="C106" s="419"/>
      <c r="D106" s="419"/>
      <c r="E106" s="419"/>
      <c r="F106" s="419"/>
      <c r="G106" s="419"/>
      <c r="H106" s="419"/>
      <c r="I106" s="419"/>
      <c r="J106" s="419"/>
    </row>
    <row r="107" spans="1:10" s="502" customFormat="1">
      <c r="A107" s="535">
        <f>A104+0.1</f>
        <v>3.4000000000000004</v>
      </c>
      <c r="B107" s="538" t="s">
        <v>611</v>
      </c>
      <c r="C107" s="538"/>
      <c r="D107" s="509"/>
      <c r="E107" s="509"/>
      <c r="F107" s="509"/>
      <c r="G107" s="509"/>
      <c r="H107" s="509"/>
      <c r="I107" s="509"/>
    </row>
    <row r="108" spans="1:10" s="502" customFormat="1" ht="8.25" customHeight="1">
      <c r="A108" s="535"/>
      <c r="B108" s="538"/>
      <c r="C108" s="538"/>
      <c r="D108" s="509"/>
      <c r="E108" s="509"/>
      <c r="F108" s="509"/>
      <c r="G108" s="509"/>
      <c r="H108" s="509"/>
      <c r="I108" s="509"/>
    </row>
    <row r="109" spans="1:10" s="502" customFormat="1">
      <c r="A109" s="535" t="s">
        <v>612</v>
      </c>
      <c r="B109" s="538" t="s">
        <v>585</v>
      </c>
      <c r="C109" s="538"/>
      <c r="D109" s="509"/>
      <c r="E109" s="509"/>
      <c r="F109" s="509"/>
      <c r="G109" s="509"/>
      <c r="H109" s="509"/>
      <c r="I109" s="509"/>
    </row>
    <row r="110" spans="1:10" s="502" customFormat="1" ht="137.25" customHeight="1">
      <c r="A110" s="535"/>
      <c r="B110" s="819" t="s">
        <v>613</v>
      </c>
      <c r="C110" s="819"/>
      <c r="D110" s="819"/>
      <c r="E110" s="819"/>
      <c r="F110" s="819"/>
      <c r="G110" s="819"/>
      <c r="H110" s="819"/>
      <c r="I110" s="819"/>
      <c r="J110" s="819"/>
    </row>
    <row r="111" spans="1:10" s="502" customFormat="1" ht="9" customHeight="1">
      <c r="A111" s="535"/>
      <c r="B111" s="539"/>
      <c r="C111" s="539"/>
      <c r="D111" s="539"/>
      <c r="E111" s="539"/>
      <c r="F111" s="539"/>
      <c r="G111" s="539"/>
      <c r="H111" s="539"/>
      <c r="I111" s="539"/>
    </row>
    <row r="112" spans="1:10" s="502" customFormat="1">
      <c r="A112" s="535"/>
      <c r="B112" s="538" t="s">
        <v>614</v>
      </c>
      <c r="C112" s="538"/>
      <c r="D112" s="509"/>
      <c r="E112" s="509"/>
      <c r="F112" s="509"/>
      <c r="G112" s="509"/>
      <c r="H112" s="509"/>
      <c r="I112" s="509"/>
    </row>
    <row r="113" spans="1:10" s="502" customFormat="1" ht="33" customHeight="1">
      <c r="A113" s="535"/>
      <c r="B113" s="809" t="s">
        <v>618</v>
      </c>
      <c r="C113" s="809"/>
      <c r="D113" s="809"/>
      <c r="E113" s="809"/>
      <c r="F113" s="809"/>
      <c r="G113" s="809"/>
      <c r="H113" s="809"/>
      <c r="I113" s="809"/>
      <c r="J113" s="809"/>
    </row>
    <row r="114" spans="1:10" s="502" customFormat="1" ht="6.75" customHeight="1">
      <c r="A114" s="535"/>
      <c r="B114" s="419"/>
      <c r="C114" s="419"/>
      <c r="D114" s="419"/>
      <c r="E114" s="419"/>
      <c r="F114" s="419"/>
      <c r="G114" s="419"/>
      <c r="H114" s="419"/>
      <c r="I114" s="419"/>
    </row>
    <row r="115" spans="1:10" s="502" customFormat="1">
      <c r="A115" s="535"/>
      <c r="B115" s="538" t="s">
        <v>615</v>
      </c>
      <c r="C115" s="538"/>
      <c r="D115" s="509"/>
      <c r="E115" s="509"/>
      <c r="F115" s="509"/>
      <c r="G115" s="509"/>
      <c r="H115" s="509"/>
      <c r="I115" s="509"/>
    </row>
    <row r="116" spans="1:10" s="502" customFormat="1" ht="33.75" customHeight="1">
      <c r="A116" s="535"/>
      <c r="B116" s="809" t="s">
        <v>619</v>
      </c>
      <c r="C116" s="809"/>
      <c r="D116" s="809"/>
      <c r="E116" s="809"/>
      <c r="F116" s="809"/>
      <c r="G116" s="809"/>
      <c r="H116" s="809"/>
      <c r="I116" s="809"/>
      <c r="J116" s="809"/>
    </row>
    <row r="117" spans="1:10" s="502" customFormat="1" ht="6" customHeight="1">
      <c r="A117" s="535"/>
      <c r="B117" s="538"/>
      <c r="C117" s="538"/>
      <c r="D117" s="509"/>
      <c r="E117" s="509"/>
      <c r="F117" s="509"/>
      <c r="G117" s="509"/>
      <c r="H117" s="509"/>
      <c r="I117" s="509"/>
    </row>
    <row r="118" spans="1:10" s="502" customFormat="1">
      <c r="A118" s="535"/>
      <c r="B118" s="538" t="s">
        <v>616</v>
      </c>
      <c r="C118" s="538"/>
      <c r="D118" s="509"/>
      <c r="E118" s="509"/>
      <c r="F118" s="509"/>
      <c r="G118" s="509"/>
      <c r="H118" s="509"/>
      <c r="I118" s="509"/>
    </row>
    <row r="119" spans="1:10" s="502" customFormat="1" ht="31.5" customHeight="1">
      <c r="A119" s="535"/>
      <c r="B119" s="809" t="s">
        <v>620</v>
      </c>
      <c r="C119" s="809"/>
      <c r="D119" s="809"/>
      <c r="E119" s="809"/>
      <c r="F119" s="809"/>
      <c r="G119" s="809"/>
      <c r="H119" s="809"/>
      <c r="I119" s="809"/>
      <c r="J119" s="809"/>
    </row>
    <row r="120" spans="1:10" s="502" customFormat="1" ht="6.75" customHeight="1">
      <c r="A120" s="535"/>
      <c r="B120" s="809"/>
      <c r="C120" s="809"/>
      <c r="D120" s="809"/>
      <c r="E120" s="809"/>
      <c r="F120" s="809"/>
      <c r="G120" s="809"/>
      <c r="H120" s="809"/>
      <c r="I120" s="809"/>
      <c r="J120" s="809"/>
    </row>
    <row r="121" spans="1:10" s="502" customFormat="1">
      <c r="A121" s="535"/>
      <c r="B121" s="538" t="s">
        <v>617</v>
      </c>
      <c r="C121" s="538"/>
      <c r="D121" s="509"/>
      <c r="E121" s="509"/>
      <c r="F121" s="509"/>
      <c r="G121" s="509"/>
      <c r="H121" s="509"/>
      <c r="I121" s="509"/>
    </row>
    <row r="122" spans="1:10" s="502" customFormat="1" ht="31.5" customHeight="1">
      <c r="A122" s="535"/>
      <c r="B122" s="809" t="s">
        <v>622</v>
      </c>
      <c r="C122" s="809"/>
      <c r="D122" s="809"/>
      <c r="E122" s="809"/>
      <c r="F122" s="809"/>
      <c r="G122" s="809"/>
      <c r="H122" s="809"/>
      <c r="I122" s="809"/>
      <c r="J122" s="809"/>
    </row>
    <row r="123" spans="1:10" s="502" customFormat="1" ht="6.75" customHeight="1">
      <c r="A123" s="535"/>
      <c r="B123" s="538"/>
      <c r="C123" s="538"/>
      <c r="D123" s="509"/>
      <c r="E123" s="509"/>
      <c r="F123" s="509"/>
      <c r="G123" s="509"/>
      <c r="H123" s="509"/>
      <c r="I123" s="509"/>
    </row>
    <row r="124" spans="1:10" s="502" customFormat="1">
      <c r="A124" s="535" t="s">
        <v>623</v>
      </c>
      <c r="B124" s="538" t="s">
        <v>586</v>
      </c>
      <c r="C124" s="538"/>
      <c r="D124" s="509"/>
      <c r="E124" s="509"/>
      <c r="F124" s="509"/>
      <c r="G124" s="509"/>
      <c r="H124" s="509"/>
      <c r="I124" s="509"/>
    </row>
    <row r="125" spans="1:10" ht="93" customHeight="1">
      <c r="B125" s="809" t="s">
        <v>791</v>
      </c>
      <c r="C125" s="809"/>
      <c r="D125" s="809"/>
      <c r="E125" s="809"/>
      <c r="F125" s="809"/>
      <c r="G125" s="809"/>
      <c r="H125" s="809"/>
      <c r="I125" s="809"/>
      <c r="J125" s="809"/>
    </row>
    <row r="126" spans="1:10" ht="2.25" customHeight="1">
      <c r="B126" s="419"/>
      <c r="C126" s="419"/>
      <c r="D126" s="419"/>
      <c r="E126" s="419"/>
      <c r="F126" s="419"/>
      <c r="G126" s="419"/>
      <c r="H126" s="419"/>
      <c r="I126" s="419"/>
    </row>
    <row r="127" spans="1:10">
      <c r="A127" s="369">
        <f>A124+0.1</f>
        <v>3.5</v>
      </c>
      <c r="B127" s="364" t="s">
        <v>3</v>
      </c>
    </row>
    <row r="128" spans="1:10" ht="86.25" customHeight="1">
      <c r="B128" s="809" t="s">
        <v>713</v>
      </c>
      <c r="C128" s="809"/>
      <c r="D128" s="809"/>
      <c r="E128" s="809"/>
      <c r="F128" s="809"/>
      <c r="G128" s="809"/>
      <c r="H128" s="809"/>
      <c r="I128" s="809"/>
      <c r="J128" s="809"/>
    </row>
    <row r="129" spans="1:12" ht="6" customHeight="1">
      <c r="B129" s="419"/>
      <c r="C129" s="419"/>
      <c r="D129" s="419"/>
      <c r="E129" s="419"/>
      <c r="F129" s="419"/>
      <c r="G129" s="419"/>
      <c r="H129" s="419"/>
      <c r="I129" s="419"/>
      <c r="J129" s="419"/>
    </row>
    <row r="130" spans="1:12">
      <c r="B130" s="808" t="s">
        <v>1260</v>
      </c>
      <c r="C130" s="808"/>
      <c r="D130" s="808"/>
      <c r="F130" s="808" t="s">
        <v>376</v>
      </c>
      <c r="G130" s="808"/>
      <c r="H130" s="808"/>
      <c r="I130" s="808"/>
    </row>
    <row r="131" spans="1:12" ht="6" customHeight="1"/>
    <row r="132" spans="1:12">
      <c r="B132" s="364" t="s">
        <v>714</v>
      </c>
      <c r="F132" s="808">
        <v>1</v>
      </c>
      <c r="G132" s="808"/>
      <c r="H132" s="808"/>
      <c r="I132" s="808"/>
    </row>
    <row r="133" spans="1:12">
      <c r="B133" s="364" t="s">
        <v>721</v>
      </c>
      <c r="F133" s="808">
        <v>0.8</v>
      </c>
      <c r="G133" s="808"/>
      <c r="H133" s="808"/>
      <c r="I133" s="808"/>
    </row>
    <row r="134" spans="1:12">
      <c r="B134" s="364" t="s">
        <v>720</v>
      </c>
      <c r="F134" s="808">
        <v>0.7</v>
      </c>
      <c r="G134" s="808"/>
      <c r="H134" s="808"/>
      <c r="I134" s="808"/>
    </row>
    <row r="135" spans="1:12">
      <c r="B135" s="364" t="s">
        <v>719</v>
      </c>
      <c r="F135" s="808">
        <v>0.6</v>
      </c>
      <c r="G135" s="808"/>
      <c r="H135" s="808"/>
      <c r="I135" s="808"/>
    </row>
    <row r="136" spans="1:12">
      <c r="B136" s="364" t="s">
        <v>718</v>
      </c>
      <c r="F136" s="808">
        <v>0.5</v>
      </c>
      <c r="G136" s="808"/>
      <c r="H136" s="808"/>
      <c r="I136" s="808"/>
    </row>
    <row r="137" spans="1:12">
      <c r="B137" s="364" t="s">
        <v>717</v>
      </c>
      <c r="F137" s="808">
        <v>0.4</v>
      </c>
      <c r="G137" s="808"/>
      <c r="H137" s="808"/>
      <c r="I137" s="808"/>
    </row>
    <row r="138" spans="1:12">
      <c r="B138" s="364" t="s">
        <v>716</v>
      </c>
      <c r="F138" s="808">
        <v>0.3</v>
      </c>
      <c r="G138" s="808"/>
      <c r="H138" s="808"/>
      <c r="I138" s="808"/>
    </row>
    <row r="139" spans="1:12">
      <c r="B139" s="364" t="s">
        <v>1266</v>
      </c>
      <c r="F139" s="808">
        <v>0.2</v>
      </c>
      <c r="G139" s="808"/>
      <c r="H139" s="808"/>
      <c r="I139" s="808"/>
    </row>
    <row r="140" spans="1:12">
      <c r="B140" s="364" t="s">
        <v>715</v>
      </c>
      <c r="F140" s="808">
        <v>0.1</v>
      </c>
      <c r="G140" s="808"/>
      <c r="H140" s="808"/>
      <c r="I140" s="808"/>
    </row>
    <row r="141" spans="1:12" ht="6.75" customHeight="1"/>
    <row r="142" spans="1:12">
      <c r="A142" s="369">
        <f>A127+0.1</f>
        <v>3.6</v>
      </c>
      <c r="B142" s="364" t="s">
        <v>918</v>
      </c>
      <c r="H142" s="546"/>
    </row>
    <row r="143" spans="1:12" ht="50.25" customHeight="1">
      <c r="B143" s="808" t="s">
        <v>767</v>
      </c>
      <c r="C143" s="808"/>
      <c r="D143" s="808"/>
      <c r="E143" s="808"/>
      <c r="F143" s="808"/>
      <c r="G143" s="808"/>
      <c r="H143" s="808"/>
      <c r="I143" s="808"/>
      <c r="J143" s="808"/>
    </row>
    <row r="144" spans="1:12" ht="5.25" customHeight="1">
      <c r="B144" s="547"/>
      <c r="C144" s="547"/>
      <c r="D144" s="547"/>
      <c r="E144" s="547"/>
      <c r="F144" s="547"/>
      <c r="G144" s="547"/>
      <c r="H144" s="547"/>
      <c r="I144" s="547"/>
      <c r="J144" s="547"/>
      <c r="K144" s="508"/>
      <c r="L144" s="508"/>
    </row>
    <row r="145" spans="1:10">
      <c r="A145" s="369" t="s">
        <v>806</v>
      </c>
      <c r="B145" s="364" t="s">
        <v>377</v>
      </c>
    </row>
    <row r="146" spans="1:10" ht="81" customHeight="1">
      <c r="B146" s="809" t="s">
        <v>1106</v>
      </c>
      <c r="C146" s="809"/>
      <c r="D146" s="809"/>
      <c r="E146" s="809"/>
      <c r="F146" s="809"/>
      <c r="G146" s="809"/>
      <c r="H146" s="809"/>
      <c r="I146" s="809"/>
      <c r="J146" s="809"/>
    </row>
    <row r="147" spans="1:10" ht="4.5" customHeight="1">
      <c r="B147" s="419"/>
      <c r="C147" s="419"/>
      <c r="D147" s="419"/>
      <c r="E147" s="419"/>
      <c r="F147" s="419"/>
      <c r="G147" s="419"/>
      <c r="H147" s="419"/>
      <c r="I147" s="419"/>
    </row>
    <row r="148" spans="1:10">
      <c r="A148" s="369" t="s">
        <v>807</v>
      </c>
      <c r="B148" s="364" t="s">
        <v>378</v>
      </c>
    </row>
    <row r="149" spans="1:10" ht="139.5" customHeight="1">
      <c r="B149" s="809" t="s">
        <v>1210</v>
      </c>
      <c r="C149" s="809"/>
      <c r="D149" s="809"/>
      <c r="E149" s="809"/>
      <c r="F149" s="809"/>
      <c r="G149" s="809"/>
      <c r="H149" s="809"/>
      <c r="I149" s="809"/>
      <c r="J149" s="809"/>
    </row>
    <row r="150" spans="1:10" ht="6.75" customHeight="1">
      <c r="B150" s="419"/>
      <c r="C150" s="419"/>
      <c r="D150" s="419"/>
      <c r="E150" s="419"/>
      <c r="F150" s="419"/>
      <c r="G150" s="419"/>
      <c r="H150" s="419"/>
      <c r="I150" s="419"/>
      <c r="J150" s="419"/>
    </row>
    <row r="151" spans="1:10" ht="65.25" customHeight="1">
      <c r="B151" s="809" t="s">
        <v>608</v>
      </c>
      <c r="C151" s="809"/>
      <c r="D151" s="809"/>
      <c r="E151" s="809"/>
      <c r="F151" s="809"/>
      <c r="G151" s="809"/>
      <c r="H151" s="809"/>
      <c r="I151" s="809"/>
      <c r="J151" s="809"/>
    </row>
    <row r="152" spans="1:10" ht="3" customHeight="1">
      <c r="B152" s="419"/>
      <c r="C152" s="419"/>
      <c r="D152" s="419"/>
      <c r="E152" s="419"/>
      <c r="F152" s="419"/>
      <c r="G152" s="419"/>
      <c r="H152" s="419"/>
      <c r="I152" s="419"/>
      <c r="J152" s="419"/>
    </row>
    <row r="153" spans="1:10">
      <c r="A153" s="369">
        <f>A142+0.1</f>
        <v>3.7</v>
      </c>
      <c r="B153" s="364" t="s">
        <v>42</v>
      </c>
    </row>
    <row r="154" spans="1:10" ht="195" customHeight="1">
      <c r="B154" s="809" t="s">
        <v>1272</v>
      </c>
      <c r="C154" s="809"/>
      <c r="D154" s="809"/>
      <c r="E154" s="809"/>
      <c r="F154" s="809"/>
      <c r="G154" s="809"/>
      <c r="H154" s="809"/>
      <c r="I154" s="809"/>
      <c r="J154" s="809"/>
    </row>
    <row r="155" spans="1:10" ht="5.25" customHeight="1">
      <c r="B155" s="419"/>
      <c r="C155" s="419"/>
      <c r="D155" s="419"/>
      <c r="E155" s="419"/>
      <c r="F155" s="419"/>
      <c r="G155" s="419"/>
      <c r="H155" s="419"/>
      <c r="I155" s="419"/>
      <c r="J155" s="419"/>
    </row>
    <row r="156" spans="1:10">
      <c r="B156" s="814" t="s">
        <v>643</v>
      </c>
      <c r="C156" s="814"/>
      <c r="D156" s="814"/>
      <c r="E156" s="814"/>
      <c r="F156" s="814"/>
      <c r="G156" s="419"/>
      <c r="H156" s="419"/>
      <c r="I156" s="419"/>
    </row>
    <row r="157" spans="1:10" ht="4.5" customHeight="1">
      <c r="B157" s="409"/>
      <c r="C157" s="409"/>
      <c r="D157" s="409"/>
      <c r="E157" s="409"/>
      <c r="F157" s="409"/>
      <c r="G157" s="419"/>
      <c r="H157" s="419"/>
      <c r="I157" s="419"/>
    </row>
    <row r="158" spans="1:10">
      <c r="B158" s="364" t="s">
        <v>587</v>
      </c>
    </row>
    <row r="159" spans="1:10">
      <c r="B159" s="364" t="s">
        <v>844</v>
      </c>
    </row>
    <row r="160" spans="1:10">
      <c r="B160" s="364" t="s">
        <v>840</v>
      </c>
    </row>
    <row r="161" spans="1:10">
      <c r="B161" s="364" t="s">
        <v>841</v>
      </c>
    </row>
    <row r="162" spans="1:10">
      <c r="B162" s="364" t="s">
        <v>842</v>
      </c>
    </row>
    <row r="163" spans="1:10">
      <c r="B163" s="364" t="s">
        <v>843</v>
      </c>
    </row>
    <row r="165" spans="1:10" s="502" customFormat="1">
      <c r="A165" s="535" t="s">
        <v>673</v>
      </c>
      <c r="B165" s="538" t="s">
        <v>379</v>
      </c>
    </row>
    <row r="166" spans="1:10" ht="91.5" customHeight="1">
      <c r="B166" s="809" t="s">
        <v>1267</v>
      </c>
      <c r="C166" s="809"/>
      <c r="D166" s="809"/>
      <c r="E166" s="809"/>
      <c r="F166" s="809"/>
      <c r="G166" s="809"/>
      <c r="H166" s="809"/>
      <c r="I166" s="809"/>
      <c r="J166" s="809"/>
    </row>
    <row r="167" spans="1:10" ht="8.25" customHeight="1">
      <c r="B167" s="419"/>
      <c r="C167" s="419"/>
      <c r="D167" s="419"/>
      <c r="E167" s="419"/>
      <c r="F167" s="419"/>
      <c r="G167" s="419"/>
      <c r="H167" s="419"/>
      <c r="I167" s="419"/>
      <c r="J167" s="419"/>
    </row>
    <row r="168" spans="1:10">
      <c r="A168" s="369" t="s">
        <v>674</v>
      </c>
      <c r="B168" s="364" t="s">
        <v>15</v>
      </c>
    </row>
    <row r="169" spans="1:10" ht="60.75" customHeight="1">
      <c r="B169" s="809" t="s">
        <v>1268</v>
      </c>
      <c r="C169" s="809"/>
      <c r="D169" s="809"/>
      <c r="E169" s="809"/>
      <c r="F169" s="809"/>
      <c r="G169" s="809"/>
      <c r="H169" s="809"/>
      <c r="I169" s="809"/>
      <c r="J169" s="809"/>
    </row>
    <row r="170" spans="1:10" ht="7.5" customHeight="1">
      <c r="B170" s="419"/>
      <c r="C170" s="419"/>
      <c r="D170" s="419"/>
      <c r="E170" s="419"/>
      <c r="F170" s="419"/>
      <c r="G170" s="419"/>
      <c r="H170" s="419"/>
      <c r="I170" s="419"/>
      <c r="J170" s="419"/>
    </row>
    <row r="171" spans="1:10">
      <c r="A171" s="369" t="s">
        <v>808</v>
      </c>
      <c r="B171" s="364" t="s">
        <v>675</v>
      </c>
      <c r="E171" s="419"/>
      <c r="F171" s="419"/>
      <c r="G171" s="419"/>
      <c r="H171" s="419"/>
      <c r="I171" s="419"/>
    </row>
    <row r="172" spans="1:10" ht="107.25" customHeight="1">
      <c r="B172" s="809" t="s">
        <v>1269</v>
      </c>
      <c r="C172" s="809"/>
      <c r="D172" s="809"/>
      <c r="E172" s="809"/>
      <c r="F172" s="809"/>
      <c r="G172" s="809"/>
      <c r="H172" s="809"/>
      <c r="I172" s="809"/>
      <c r="J172" s="809"/>
    </row>
    <row r="173" spans="1:10" ht="4.5" customHeight="1">
      <c r="B173" s="419"/>
      <c r="C173" s="419"/>
      <c r="D173" s="419"/>
      <c r="E173" s="419"/>
      <c r="F173" s="419"/>
      <c r="G173" s="419"/>
      <c r="H173" s="419"/>
      <c r="I173" s="419"/>
    </row>
    <row r="174" spans="1:10">
      <c r="A174" s="369" t="s">
        <v>809</v>
      </c>
      <c r="B174" s="364" t="s">
        <v>676</v>
      </c>
      <c r="C174" s="419"/>
      <c r="D174" s="419"/>
      <c r="E174" s="419"/>
      <c r="F174" s="419"/>
      <c r="G174" s="419"/>
      <c r="H174" s="419"/>
      <c r="I174" s="419"/>
    </row>
    <row r="175" spans="1:10" ht="108" customHeight="1">
      <c r="B175" s="809" t="s">
        <v>1270</v>
      </c>
      <c r="C175" s="809"/>
      <c r="D175" s="809"/>
      <c r="E175" s="809"/>
      <c r="F175" s="809"/>
      <c r="G175" s="809"/>
      <c r="H175" s="809"/>
      <c r="I175" s="809"/>
      <c r="J175" s="809"/>
    </row>
    <row r="176" spans="1:10" ht="7.5" customHeight="1"/>
    <row r="177" spans="1:10">
      <c r="A177" s="369" t="s">
        <v>810</v>
      </c>
      <c r="B177" s="364" t="s">
        <v>792</v>
      </c>
      <c r="E177" s="419"/>
      <c r="F177" s="419"/>
      <c r="G177" s="419"/>
      <c r="H177" s="419"/>
    </row>
    <row r="178" spans="1:10" ht="46.5" customHeight="1">
      <c r="B178" s="809" t="s">
        <v>1271</v>
      </c>
      <c r="C178" s="809"/>
      <c r="D178" s="809"/>
      <c r="E178" s="809"/>
      <c r="F178" s="809"/>
      <c r="G178" s="809"/>
      <c r="H178" s="809"/>
      <c r="I178" s="809"/>
      <c r="J178" s="809"/>
    </row>
    <row r="179" spans="1:10" ht="6.75" customHeight="1"/>
    <row r="180" spans="1:10">
      <c r="A180" s="369">
        <v>3.8</v>
      </c>
      <c r="B180" s="364" t="s">
        <v>345</v>
      </c>
      <c r="C180" s="419"/>
      <c r="D180" s="419"/>
      <c r="E180" s="419"/>
      <c r="F180" s="419"/>
      <c r="G180" s="419"/>
      <c r="H180" s="419"/>
      <c r="I180" s="419"/>
    </row>
    <row r="181" spans="1:10">
      <c r="B181" s="809" t="s">
        <v>588</v>
      </c>
      <c r="C181" s="809"/>
      <c r="D181" s="809"/>
      <c r="E181" s="809"/>
      <c r="F181" s="809"/>
      <c r="G181" s="809"/>
      <c r="H181" s="809"/>
      <c r="I181" s="809"/>
      <c r="J181" s="809"/>
    </row>
    <row r="182" spans="1:10" ht="5.25" customHeight="1">
      <c r="B182" s="395"/>
      <c r="C182" s="395"/>
      <c r="D182" s="395"/>
      <c r="E182" s="395"/>
      <c r="F182" s="395"/>
      <c r="G182" s="395"/>
      <c r="H182" s="395"/>
      <c r="I182" s="395"/>
    </row>
    <row r="183" spans="1:10">
      <c r="A183" s="530">
        <v>3.9</v>
      </c>
      <c r="B183" s="364" t="s">
        <v>565</v>
      </c>
      <c r="C183" s="419"/>
      <c r="D183" s="419"/>
      <c r="E183" s="419"/>
      <c r="F183" s="419"/>
      <c r="G183" s="419"/>
      <c r="H183" s="419"/>
      <c r="I183" s="419"/>
    </row>
    <row r="184" spans="1:10" ht="48" customHeight="1">
      <c r="B184" s="809" t="s">
        <v>644</v>
      </c>
      <c r="C184" s="809"/>
      <c r="D184" s="809"/>
      <c r="E184" s="809"/>
      <c r="F184" s="809"/>
      <c r="G184" s="809"/>
      <c r="H184" s="809"/>
      <c r="I184" s="809"/>
      <c r="J184" s="809"/>
    </row>
    <row r="185" spans="1:10">
      <c r="B185" s="419"/>
      <c r="C185" s="419"/>
      <c r="D185" s="419"/>
      <c r="E185" s="419"/>
      <c r="F185" s="419"/>
      <c r="G185" s="419"/>
      <c r="H185" s="419"/>
      <c r="I185" s="419"/>
      <c r="J185" s="419"/>
    </row>
    <row r="186" spans="1:10">
      <c r="A186" s="540">
        <v>3.1</v>
      </c>
      <c r="B186" s="364" t="s">
        <v>12</v>
      </c>
      <c r="C186" s="419"/>
      <c r="D186" s="419"/>
      <c r="E186" s="419"/>
      <c r="F186" s="419"/>
      <c r="G186" s="419"/>
      <c r="H186" s="419"/>
      <c r="I186" s="419"/>
    </row>
    <row r="187" spans="1:10" ht="6" customHeight="1"/>
    <row r="188" spans="1:10" ht="33" customHeight="1">
      <c r="B188" s="809" t="s">
        <v>687</v>
      </c>
      <c r="C188" s="809"/>
      <c r="D188" s="809"/>
      <c r="E188" s="809"/>
      <c r="F188" s="809"/>
      <c r="G188" s="809"/>
      <c r="H188" s="809"/>
      <c r="I188" s="809"/>
      <c r="J188" s="809"/>
    </row>
    <row r="189" spans="1:10" ht="6" customHeight="1">
      <c r="B189" s="419"/>
      <c r="C189" s="419"/>
      <c r="D189" s="419"/>
      <c r="E189" s="419"/>
      <c r="F189" s="419"/>
      <c r="G189" s="419"/>
      <c r="H189" s="419"/>
      <c r="I189" s="419"/>
      <c r="J189" s="419"/>
    </row>
    <row r="190" spans="1:10">
      <c r="A190" s="369">
        <v>3.11</v>
      </c>
      <c r="B190" s="364" t="s">
        <v>610</v>
      </c>
      <c r="C190" s="419"/>
      <c r="D190" s="419"/>
      <c r="E190" s="419"/>
      <c r="F190" s="419"/>
      <c r="G190" s="419"/>
      <c r="H190" s="419"/>
      <c r="I190" s="419"/>
    </row>
    <row r="191" spans="1:10" ht="67.5" customHeight="1">
      <c r="B191" s="809" t="s">
        <v>739</v>
      </c>
      <c r="C191" s="809"/>
      <c r="D191" s="809"/>
      <c r="E191" s="809"/>
      <c r="F191" s="809"/>
      <c r="G191" s="809"/>
      <c r="H191" s="809"/>
      <c r="I191" s="809"/>
      <c r="J191" s="809"/>
    </row>
    <row r="192" spans="1:10" ht="9" customHeight="1">
      <c r="B192" s="419"/>
      <c r="C192" s="419"/>
      <c r="D192" s="419"/>
      <c r="E192" s="419"/>
      <c r="F192" s="419"/>
      <c r="G192" s="419"/>
      <c r="H192" s="419"/>
      <c r="I192" s="419"/>
    </row>
    <row r="193" spans="1:13">
      <c r="A193" s="369">
        <v>3.12</v>
      </c>
      <c r="B193" s="364" t="s">
        <v>589</v>
      </c>
    </row>
    <row r="194" spans="1:13" ht="48" customHeight="1">
      <c r="B194" s="809" t="s">
        <v>590</v>
      </c>
      <c r="C194" s="809"/>
      <c r="D194" s="809"/>
      <c r="E194" s="809"/>
      <c r="F194" s="809"/>
      <c r="G194" s="809"/>
      <c r="H194" s="809"/>
      <c r="I194" s="809"/>
      <c r="J194" s="809"/>
    </row>
    <row r="195" spans="1:13" ht="3.75" customHeight="1">
      <c r="B195" s="419"/>
      <c r="C195" s="419"/>
      <c r="D195" s="419"/>
      <c r="E195" s="419"/>
      <c r="F195" s="419"/>
      <c r="G195" s="419"/>
      <c r="H195" s="419"/>
      <c r="I195" s="419"/>
      <c r="J195" s="419"/>
    </row>
    <row r="196" spans="1:13" ht="48" customHeight="1">
      <c r="B196" s="809" t="s">
        <v>745</v>
      </c>
      <c r="C196" s="809"/>
      <c r="D196" s="809"/>
      <c r="E196" s="809"/>
      <c r="F196" s="809"/>
      <c r="G196" s="809"/>
      <c r="H196" s="809"/>
      <c r="I196" s="809"/>
      <c r="J196" s="809"/>
    </row>
    <row r="197" spans="1:13" ht="5.25" customHeight="1">
      <c r="B197" s="419"/>
      <c r="C197" s="419"/>
      <c r="D197" s="419"/>
      <c r="E197" s="419"/>
      <c r="F197" s="419"/>
      <c r="G197" s="419"/>
      <c r="H197" s="419"/>
      <c r="I197" s="419"/>
      <c r="J197" s="419"/>
    </row>
    <row r="198" spans="1:13">
      <c r="A198" s="369">
        <v>3.13</v>
      </c>
      <c r="B198" s="364" t="s">
        <v>358</v>
      </c>
      <c r="G198" s="419"/>
      <c r="H198" s="419"/>
      <c r="I198" s="419"/>
    </row>
    <row r="199" spans="1:13" ht="63.75" customHeight="1">
      <c r="A199" s="548"/>
      <c r="B199" s="809" t="s">
        <v>1036</v>
      </c>
      <c r="C199" s="809"/>
      <c r="D199" s="809"/>
      <c r="E199" s="809"/>
      <c r="F199" s="809"/>
      <c r="G199" s="809"/>
      <c r="H199" s="809"/>
      <c r="I199" s="809"/>
      <c r="J199" s="809"/>
    </row>
    <row r="200" spans="1:13" ht="3.75" customHeight="1">
      <c r="A200" s="548"/>
      <c r="B200" s="419"/>
      <c r="C200" s="419"/>
      <c r="D200" s="419"/>
      <c r="E200" s="419"/>
      <c r="F200" s="419"/>
      <c r="G200" s="419"/>
      <c r="H200" s="419"/>
      <c r="I200" s="419"/>
      <c r="J200" s="419"/>
    </row>
    <row r="201" spans="1:13">
      <c r="A201" s="369">
        <v>3.14</v>
      </c>
      <c r="B201" s="364" t="s">
        <v>591</v>
      </c>
      <c r="E201" s="419"/>
      <c r="F201" s="419"/>
      <c r="G201" s="419"/>
      <c r="H201" s="419"/>
      <c r="I201" s="419"/>
    </row>
    <row r="202" spans="1:13" ht="46.5" customHeight="1">
      <c r="B202" s="808" t="s">
        <v>740</v>
      </c>
      <c r="C202" s="808"/>
      <c r="D202" s="808"/>
      <c r="E202" s="808"/>
      <c r="F202" s="808"/>
      <c r="G202" s="808"/>
      <c r="H202" s="808"/>
      <c r="I202" s="808"/>
      <c r="J202" s="808"/>
    </row>
    <row r="203" spans="1:13" ht="4.5" customHeight="1">
      <c r="B203" s="549"/>
      <c r="C203" s="549"/>
      <c r="D203" s="549"/>
      <c r="E203" s="549"/>
      <c r="F203" s="549"/>
      <c r="G203" s="549"/>
      <c r="H203" s="549"/>
      <c r="I203" s="549"/>
      <c r="J203" s="549"/>
    </row>
    <row r="204" spans="1:13">
      <c r="A204" s="369">
        <v>3.15</v>
      </c>
      <c r="B204" s="364" t="s">
        <v>562</v>
      </c>
      <c r="C204" s="363"/>
      <c r="D204" s="363"/>
      <c r="J204" s="541"/>
      <c r="K204" s="541"/>
      <c r="L204" s="541"/>
      <c r="M204" s="541"/>
    </row>
    <row r="205" spans="1:13" ht="5.25" customHeight="1"/>
    <row r="206" spans="1:13" ht="63" customHeight="1">
      <c r="A206" s="369"/>
      <c r="B206" s="809" t="s">
        <v>606</v>
      </c>
      <c r="C206" s="809"/>
      <c r="D206" s="809"/>
      <c r="E206" s="809"/>
      <c r="F206" s="809"/>
      <c r="G206" s="809"/>
      <c r="H206" s="809"/>
      <c r="I206" s="809"/>
      <c r="J206" s="809"/>
      <c r="K206" s="541"/>
      <c r="L206" s="541"/>
      <c r="M206" s="541"/>
    </row>
    <row r="207" spans="1:13" ht="3.75" customHeight="1"/>
    <row r="208" spans="1:13">
      <c r="A208" s="369">
        <v>3.16</v>
      </c>
      <c r="B208" s="364" t="s">
        <v>982</v>
      </c>
      <c r="J208" s="541"/>
    </row>
    <row r="209" spans="2:10" ht="5.25" customHeight="1">
      <c r="J209" s="541"/>
    </row>
    <row r="210" spans="2:10" ht="20.25" customHeight="1">
      <c r="B210" s="430" t="s">
        <v>983</v>
      </c>
      <c r="C210" s="430" t="s">
        <v>1195</v>
      </c>
      <c r="D210" s="815" t="s">
        <v>1068</v>
      </c>
      <c r="E210" s="816"/>
      <c r="F210" s="808"/>
      <c r="G210" s="808" t="s">
        <v>984</v>
      </c>
      <c r="H210" s="808"/>
      <c r="I210" s="808"/>
      <c r="J210" s="541"/>
    </row>
    <row r="211" spans="2:10" ht="15" customHeight="1">
      <c r="B211" s="503">
        <v>1</v>
      </c>
      <c r="C211" s="503">
        <v>1</v>
      </c>
      <c r="D211" s="813" t="s">
        <v>985</v>
      </c>
      <c r="E211" s="813"/>
      <c r="F211" s="813"/>
      <c r="G211" s="810" t="s">
        <v>986</v>
      </c>
      <c r="H211" s="811"/>
      <c r="I211" s="812"/>
      <c r="J211" s="541"/>
    </row>
    <row r="212" spans="2:10" ht="15" customHeight="1">
      <c r="B212" s="503">
        <v>2</v>
      </c>
      <c r="C212" s="503">
        <v>2</v>
      </c>
      <c r="D212" s="813" t="s">
        <v>987</v>
      </c>
      <c r="E212" s="813"/>
      <c r="F212" s="813"/>
      <c r="G212" s="810" t="s">
        <v>988</v>
      </c>
      <c r="H212" s="811"/>
      <c r="I212" s="812"/>
      <c r="J212" s="541"/>
    </row>
    <row r="213" spans="2:10" ht="15" customHeight="1">
      <c r="B213" s="503">
        <v>3</v>
      </c>
      <c r="C213" s="503">
        <v>7</v>
      </c>
      <c r="D213" s="813" t="s">
        <v>989</v>
      </c>
      <c r="E213" s="813"/>
      <c r="F213" s="813"/>
      <c r="G213" s="810" t="s">
        <v>986</v>
      </c>
      <c r="H213" s="811"/>
      <c r="I213" s="812"/>
    </row>
    <row r="214" spans="2:10" ht="29.25" customHeight="1">
      <c r="B214" s="503">
        <v>4</v>
      </c>
      <c r="C214" s="503">
        <v>8</v>
      </c>
      <c r="D214" s="813" t="s">
        <v>990</v>
      </c>
      <c r="E214" s="813"/>
      <c r="F214" s="813"/>
      <c r="G214" s="810" t="s">
        <v>986</v>
      </c>
      <c r="H214" s="811"/>
      <c r="I214" s="812"/>
    </row>
    <row r="215" spans="2:10" ht="15" customHeight="1">
      <c r="B215" s="503">
        <v>5</v>
      </c>
      <c r="C215" s="503">
        <v>10</v>
      </c>
      <c r="D215" s="813" t="s">
        <v>991</v>
      </c>
      <c r="E215" s="813"/>
      <c r="F215" s="813"/>
      <c r="G215" s="810" t="s">
        <v>986</v>
      </c>
      <c r="H215" s="811"/>
      <c r="I215" s="812"/>
    </row>
    <row r="216" spans="2:10" ht="15" customHeight="1">
      <c r="B216" s="503">
        <v>6</v>
      </c>
      <c r="C216" s="503">
        <v>11</v>
      </c>
      <c r="D216" s="813" t="s">
        <v>992</v>
      </c>
      <c r="E216" s="813"/>
      <c r="F216" s="813"/>
      <c r="G216" s="810" t="s">
        <v>988</v>
      </c>
      <c r="H216" s="811"/>
      <c r="I216" s="812"/>
    </row>
    <row r="217" spans="2:10" ht="15" customHeight="1">
      <c r="B217" s="503">
        <v>7</v>
      </c>
      <c r="C217" s="503">
        <v>12</v>
      </c>
      <c r="D217" s="813" t="s">
        <v>993</v>
      </c>
      <c r="E217" s="813"/>
      <c r="F217" s="813"/>
      <c r="G217" s="810" t="s">
        <v>986</v>
      </c>
      <c r="H217" s="811"/>
      <c r="I217" s="812"/>
    </row>
    <row r="218" spans="2:10" ht="15" customHeight="1">
      <c r="B218" s="503">
        <v>8</v>
      </c>
      <c r="C218" s="503">
        <v>16</v>
      </c>
      <c r="D218" s="813" t="s">
        <v>994</v>
      </c>
      <c r="E218" s="813"/>
      <c r="F218" s="813"/>
      <c r="G218" s="810" t="s">
        <v>986</v>
      </c>
      <c r="H218" s="811"/>
      <c r="I218" s="812"/>
    </row>
    <row r="219" spans="2:10" ht="15" customHeight="1">
      <c r="B219" s="542">
        <v>9</v>
      </c>
      <c r="C219" s="542">
        <v>17</v>
      </c>
      <c r="D219" s="813" t="s">
        <v>995</v>
      </c>
      <c r="E219" s="813"/>
      <c r="F219" s="813"/>
      <c r="G219" s="810" t="s">
        <v>986</v>
      </c>
      <c r="H219" s="811"/>
      <c r="I219" s="812"/>
    </row>
    <row r="220" spans="2:10" ht="15" customHeight="1">
      <c r="B220" s="503">
        <v>10</v>
      </c>
      <c r="C220" s="503">
        <v>18</v>
      </c>
      <c r="D220" s="813" t="s">
        <v>29</v>
      </c>
      <c r="E220" s="813"/>
      <c r="F220" s="813"/>
      <c r="G220" s="810" t="s">
        <v>986</v>
      </c>
      <c r="H220" s="811"/>
      <c r="I220" s="812"/>
    </row>
    <row r="221" spans="2:10" ht="15" customHeight="1">
      <c r="B221" s="503">
        <v>11</v>
      </c>
      <c r="C221" s="503">
        <v>19</v>
      </c>
      <c r="D221" s="813" t="s">
        <v>996</v>
      </c>
      <c r="E221" s="813"/>
      <c r="F221" s="813"/>
      <c r="G221" s="810" t="s">
        <v>986</v>
      </c>
      <c r="H221" s="811"/>
      <c r="I221" s="812"/>
    </row>
    <row r="222" spans="2:10" ht="30" customHeight="1">
      <c r="B222" s="503">
        <v>12</v>
      </c>
      <c r="C222" s="503">
        <v>20</v>
      </c>
      <c r="D222" s="813" t="s">
        <v>997</v>
      </c>
      <c r="E222" s="813"/>
      <c r="F222" s="813"/>
      <c r="G222" s="810" t="s">
        <v>988</v>
      </c>
      <c r="H222" s="811"/>
      <c r="I222" s="812"/>
    </row>
    <row r="223" spans="2:10" ht="15" customHeight="1">
      <c r="B223" s="503">
        <v>13</v>
      </c>
      <c r="C223" s="503">
        <v>21</v>
      </c>
      <c r="D223" s="813" t="s">
        <v>998</v>
      </c>
      <c r="E223" s="813"/>
      <c r="F223" s="813"/>
      <c r="G223" s="810" t="s">
        <v>986</v>
      </c>
      <c r="H223" s="811"/>
      <c r="I223" s="812"/>
    </row>
    <row r="224" spans="2:10" ht="20.25" customHeight="1">
      <c r="B224" s="430" t="s">
        <v>983</v>
      </c>
      <c r="C224" s="430" t="s">
        <v>1195</v>
      </c>
      <c r="D224" s="815" t="s">
        <v>1068</v>
      </c>
      <c r="E224" s="816"/>
      <c r="F224" s="808"/>
      <c r="G224" s="808" t="s">
        <v>984</v>
      </c>
      <c r="H224" s="808"/>
      <c r="I224" s="808"/>
      <c r="J224" s="541"/>
    </row>
    <row r="225" spans="2:9" ht="15" customHeight="1">
      <c r="B225" s="503">
        <v>14</v>
      </c>
      <c r="C225" s="503">
        <v>23</v>
      </c>
      <c r="D225" s="813" t="s">
        <v>999</v>
      </c>
      <c r="E225" s="813"/>
      <c r="F225" s="813"/>
      <c r="G225" s="810" t="s">
        <v>986</v>
      </c>
      <c r="H225" s="811"/>
      <c r="I225" s="812"/>
    </row>
    <row r="226" spans="2:9" ht="15" customHeight="1">
      <c r="B226" s="503">
        <v>15</v>
      </c>
      <c r="C226" s="503">
        <v>24</v>
      </c>
      <c r="D226" s="813" t="s">
        <v>1000</v>
      </c>
      <c r="E226" s="813"/>
      <c r="F226" s="813"/>
      <c r="G226" s="810" t="s">
        <v>986</v>
      </c>
      <c r="H226" s="811"/>
      <c r="I226" s="812"/>
    </row>
    <row r="227" spans="2:9" ht="15" customHeight="1">
      <c r="B227" s="503">
        <v>16</v>
      </c>
      <c r="C227" s="503">
        <v>26</v>
      </c>
      <c r="D227" s="813" t="s">
        <v>1001</v>
      </c>
      <c r="E227" s="813"/>
      <c r="F227" s="813"/>
      <c r="G227" s="810" t="s">
        <v>988</v>
      </c>
      <c r="H227" s="811"/>
      <c r="I227" s="812"/>
    </row>
    <row r="228" spans="2:9" ht="15" customHeight="1">
      <c r="B228" s="503">
        <v>17</v>
      </c>
      <c r="C228" s="503">
        <v>27</v>
      </c>
      <c r="D228" s="813" t="s">
        <v>1030</v>
      </c>
      <c r="E228" s="813"/>
      <c r="F228" s="813"/>
      <c r="G228" s="810" t="s">
        <v>988</v>
      </c>
      <c r="H228" s="811"/>
      <c r="I228" s="812"/>
    </row>
    <row r="229" spans="2:9" ht="15" customHeight="1">
      <c r="B229" s="503">
        <v>18</v>
      </c>
      <c r="C229" s="503">
        <v>28</v>
      </c>
      <c r="D229" s="813" t="s">
        <v>1031</v>
      </c>
      <c r="E229" s="813"/>
      <c r="F229" s="813"/>
      <c r="G229" s="823" t="s">
        <v>988</v>
      </c>
      <c r="H229" s="823"/>
      <c r="I229" s="823"/>
    </row>
    <row r="230" spans="2:9" ht="15" customHeight="1">
      <c r="B230" s="503">
        <v>19</v>
      </c>
      <c r="C230" s="503">
        <v>29</v>
      </c>
      <c r="D230" s="820" t="s">
        <v>1032</v>
      </c>
      <c r="E230" s="821"/>
      <c r="F230" s="822"/>
      <c r="G230" s="823" t="s">
        <v>988</v>
      </c>
      <c r="H230" s="823"/>
      <c r="I230" s="823"/>
    </row>
    <row r="231" spans="2:9" ht="15" customHeight="1">
      <c r="B231" s="503">
        <v>20</v>
      </c>
      <c r="C231" s="503">
        <v>31</v>
      </c>
      <c r="D231" s="813" t="s">
        <v>1002</v>
      </c>
      <c r="E231" s="813"/>
      <c r="F231" s="813"/>
      <c r="G231" s="810" t="s">
        <v>988</v>
      </c>
      <c r="H231" s="811"/>
      <c r="I231" s="812"/>
    </row>
    <row r="232" spans="2:9" ht="15" customHeight="1">
      <c r="B232" s="503">
        <v>21</v>
      </c>
      <c r="C232" s="503">
        <v>32</v>
      </c>
      <c r="D232" s="813" t="s">
        <v>1003</v>
      </c>
      <c r="E232" s="813"/>
      <c r="F232" s="813"/>
      <c r="G232" s="810" t="s">
        <v>986</v>
      </c>
      <c r="H232" s="811"/>
      <c r="I232" s="812"/>
    </row>
    <row r="233" spans="2:9" ht="15" customHeight="1">
      <c r="B233" s="503">
        <v>22</v>
      </c>
      <c r="C233" s="503">
        <v>33</v>
      </c>
      <c r="D233" s="813" t="s">
        <v>1004</v>
      </c>
      <c r="E233" s="813"/>
      <c r="F233" s="813"/>
      <c r="G233" s="823" t="s">
        <v>986</v>
      </c>
      <c r="H233" s="823"/>
      <c r="I233" s="823"/>
    </row>
    <row r="234" spans="2:9" ht="15" customHeight="1">
      <c r="B234" s="503">
        <v>23</v>
      </c>
      <c r="C234" s="503">
        <v>34</v>
      </c>
      <c r="D234" s="813" t="s">
        <v>1005</v>
      </c>
      <c r="E234" s="813"/>
      <c r="F234" s="813"/>
      <c r="G234" s="823" t="s">
        <v>986</v>
      </c>
      <c r="H234" s="823"/>
      <c r="I234" s="823"/>
    </row>
    <row r="235" spans="2:9" ht="15" customHeight="1">
      <c r="B235" s="503">
        <v>24</v>
      </c>
      <c r="C235" s="503">
        <v>36</v>
      </c>
      <c r="D235" s="813" t="s">
        <v>1006</v>
      </c>
      <c r="E235" s="813"/>
      <c r="F235" s="813"/>
      <c r="G235" s="823" t="s">
        <v>986</v>
      </c>
      <c r="H235" s="823"/>
      <c r="I235" s="823"/>
    </row>
    <row r="236" spans="2:9">
      <c r="B236" s="503">
        <v>25</v>
      </c>
      <c r="C236" s="503">
        <v>37</v>
      </c>
      <c r="D236" s="813" t="s">
        <v>1007</v>
      </c>
      <c r="E236" s="813"/>
      <c r="F236" s="813"/>
      <c r="G236" s="810" t="s">
        <v>986</v>
      </c>
      <c r="H236" s="811"/>
      <c r="I236" s="812"/>
    </row>
    <row r="237" spans="2:9" ht="15" customHeight="1">
      <c r="B237" s="503">
        <v>26</v>
      </c>
      <c r="C237" s="503">
        <v>38</v>
      </c>
      <c r="D237" s="813" t="s">
        <v>1008</v>
      </c>
      <c r="E237" s="813"/>
      <c r="F237" s="813"/>
      <c r="G237" s="810" t="s">
        <v>1037</v>
      </c>
      <c r="H237" s="811"/>
      <c r="I237" s="812"/>
    </row>
    <row r="238" spans="2:9">
      <c r="B238" s="503">
        <v>27</v>
      </c>
      <c r="C238" s="503">
        <v>39</v>
      </c>
      <c r="D238" s="813" t="s">
        <v>1009</v>
      </c>
      <c r="E238" s="813"/>
      <c r="F238" s="813"/>
      <c r="G238" s="810" t="s">
        <v>986</v>
      </c>
      <c r="H238" s="811"/>
      <c r="I238" s="812"/>
    </row>
    <row r="239" spans="2:9" ht="15" customHeight="1">
      <c r="B239" s="503">
        <v>28</v>
      </c>
      <c r="C239" s="503">
        <v>40</v>
      </c>
      <c r="D239" s="813" t="s">
        <v>1010</v>
      </c>
      <c r="E239" s="813"/>
      <c r="F239" s="813"/>
      <c r="G239" s="810" t="s">
        <v>988</v>
      </c>
      <c r="H239" s="811"/>
      <c r="I239" s="812"/>
    </row>
    <row r="240" spans="2:9" ht="15" customHeight="1">
      <c r="B240" s="503">
        <v>29</v>
      </c>
      <c r="C240" s="503">
        <v>41</v>
      </c>
      <c r="D240" s="813" t="s">
        <v>1011</v>
      </c>
      <c r="E240" s="813"/>
      <c r="F240" s="813"/>
      <c r="G240" s="810" t="s">
        <v>988</v>
      </c>
      <c r="H240" s="811"/>
      <c r="I240" s="812"/>
    </row>
    <row r="241" spans="2:9" ht="12" customHeight="1">
      <c r="B241" s="504"/>
      <c r="C241" s="504"/>
      <c r="D241" s="410"/>
      <c r="E241" s="410"/>
      <c r="F241" s="410"/>
      <c r="G241" s="504"/>
      <c r="H241" s="504"/>
      <c r="I241" s="504"/>
    </row>
    <row r="242" spans="2:9" ht="6" customHeight="1">
      <c r="B242" s="809"/>
      <c r="C242" s="809"/>
      <c r="D242" s="809"/>
      <c r="E242" s="809"/>
      <c r="F242" s="809"/>
      <c r="G242" s="809"/>
      <c r="H242" s="809"/>
      <c r="I242" s="809"/>
    </row>
    <row r="243" spans="2:9" ht="16.5" customHeight="1">
      <c r="B243" s="542" t="s">
        <v>983</v>
      </c>
      <c r="C243" s="542" t="s">
        <v>1196</v>
      </c>
      <c r="D243" s="810" t="s">
        <v>1069</v>
      </c>
      <c r="E243" s="811"/>
      <c r="F243" s="812"/>
      <c r="G243" s="810" t="s">
        <v>984</v>
      </c>
      <c r="H243" s="811"/>
      <c r="I243" s="812"/>
    </row>
    <row r="244" spans="2:9" ht="30.75" customHeight="1">
      <c r="B244" s="503">
        <v>1</v>
      </c>
      <c r="C244" s="503">
        <v>1</v>
      </c>
      <c r="D244" s="824" t="s">
        <v>1012</v>
      </c>
      <c r="E244" s="825"/>
      <c r="F244" s="826"/>
      <c r="G244" s="810" t="s">
        <v>986</v>
      </c>
      <c r="H244" s="811"/>
      <c r="I244" s="812"/>
    </row>
    <row r="245" spans="2:9">
      <c r="B245" s="503">
        <v>2</v>
      </c>
      <c r="C245" s="503">
        <v>2</v>
      </c>
      <c r="D245" s="824" t="s">
        <v>1013</v>
      </c>
      <c r="E245" s="825"/>
      <c r="F245" s="826"/>
      <c r="G245" s="810" t="s">
        <v>988</v>
      </c>
      <c r="H245" s="811"/>
      <c r="I245" s="812"/>
    </row>
    <row r="246" spans="2:9">
      <c r="B246" s="503">
        <v>3</v>
      </c>
      <c r="C246" s="503">
        <v>3</v>
      </c>
      <c r="D246" s="824" t="s">
        <v>1014</v>
      </c>
      <c r="E246" s="825"/>
      <c r="F246" s="826"/>
      <c r="G246" s="810" t="s">
        <v>988</v>
      </c>
      <c r="H246" s="811"/>
      <c r="I246" s="812"/>
    </row>
    <row r="247" spans="2:9">
      <c r="B247" s="503">
        <v>4</v>
      </c>
      <c r="C247" s="503">
        <v>4</v>
      </c>
      <c r="D247" s="824" t="s">
        <v>1015</v>
      </c>
      <c r="E247" s="825"/>
      <c r="F247" s="826"/>
      <c r="G247" s="810" t="s">
        <v>988</v>
      </c>
      <c r="H247" s="811"/>
      <c r="I247" s="812"/>
    </row>
    <row r="248" spans="2:9" ht="33.75" customHeight="1">
      <c r="B248" s="503">
        <v>5</v>
      </c>
      <c r="C248" s="503">
        <v>5</v>
      </c>
      <c r="D248" s="824" t="s">
        <v>1016</v>
      </c>
      <c r="E248" s="825"/>
      <c r="F248" s="826"/>
      <c r="G248" s="810" t="s">
        <v>986</v>
      </c>
      <c r="H248" s="811"/>
      <c r="I248" s="812"/>
    </row>
    <row r="249" spans="2:9">
      <c r="B249" s="503">
        <v>6</v>
      </c>
      <c r="C249" s="503">
        <v>6</v>
      </c>
      <c r="D249" s="824" t="s">
        <v>1017</v>
      </c>
      <c r="E249" s="825"/>
      <c r="F249" s="826"/>
      <c r="G249" s="810" t="s">
        <v>988</v>
      </c>
      <c r="H249" s="811"/>
      <c r="I249" s="812"/>
    </row>
    <row r="250" spans="2:9">
      <c r="B250" s="503">
        <v>7</v>
      </c>
      <c r="C250" s="503">
        <v>7</v>
      </c>
      <c r="D250" s="824" t="s">
        <v>1018</v>
      </c>
      <c r="E250" s="825"/>
      <c r="F250" s="826"/>
      <c r="G250" s="810" t="s">
        <v>986</v>
      </c>
      <c r="H250" s="811"/>
      <c r="I250" s="812"/>
    </row>
    <row r="251" spans="2:9">
      <c r="B251" s="503">
        <v>8</v>
      </c>
      <c r="C251" s="503">
        <v>8</v>
      </c>
      <c r="D251" s="824" t="s">
        <v>1019</v>
      </c>
      <c r="E251" s="825"/>
      <c r="F251" s="826"/>
      <c r="G251" s="810" t="s">
        <v>986</v>
      </c>
      <c r="H251" s="811"/>
      <c r="I251" s="812"/>
    </row>
    <row r="252" spans="2:9">
      <c r="B252" s="503">
        <v>9</v>
      </c>
      <c r="C252" s="503">
        <v>9</v>
      </c>
      <c r="D252" s="824" t="s">
        <v>1020</v>
      </c>
      <c r="E252" s="825"/>
      <c r="F252" s="826"/>
      <c r="G252" s="810" t="s">
        <v>986</v>
      </c>
      <c r="H252" s="811"/>
      <c r="I252" s="812"/>
    </row>
    <row r="253" spans="2:9">
      <c r="B253" s="503">
        <v>10</v>
      </c>
      <c r="C253" s="503">
        <v>10</v>
      </c>
      <c r="D253" s="824" t="s">
        <v>1021</v>
      </c>
      <c r="E253" s="825"/>
      <c r="F253" s="826"/>
      <c r="G253" s="810" t="s">
        <v>988</v>
      </c>
      <c r="H253" s="811"/>
      <c r="I253" s="812"/>
    </row>
    <row r="254" spans="2:9">
      <c r="B254" s="503">
        <v>11</v>
      </c>
      <c r="C254" s="503">
        <v>11</v>
      </c>
      <c r="D254" s="824" t="s">
        <v>1022</v>
      </c>
      <c r="E254" s="825"/>
      <c r="F254" s="826"/>
      <c r="G254" s="810" t="s">
        <v>988</v>
      </c>
      <c r="H254" s="811"/>
      <c r="I254" s="812"/>
    </row>
    <row r="255" spans="2:9">
      <c r="B255" s="503">
        <v>12</v>
      </c>
      <c r="C255" s="503">
        <v>12</v>
      </c>
      <c r="D255" s="824" t="s">
        <v>1023</v>
      </c>
      <c r="E255" s="825"/>
      <c r="F255" s="826"/>
      <c r="G255" s="810" t="s">
        <v>988</v>
      </c>
      <c r="H255" s="811"/>
      <c r="I255" s="812"/>
    </row>
    <row r="256" spans="2:9">
      <c r="B256" s="503">
        <v>13</v>
      </c>
      <c r="C256" s="503">
        <v>13</v>
      </c>
      <c r="D256" s="813" t="s">
        <v>1024</v>
      </c>
      <c r="E256" s="813"/>
      <c r="F256" s="813"/>
      <c r="G256" s="810" t="s">
        <v>986</v>
      </c>
      <c r="H256" s="811"/>
      <c r="I256" s="812"/>
    </row>
    <row r="257" spans="2:9">
      <c r="B257" s="503">
        <v>14</v>
      </c>
      <c r="C257" s="503">
        <v>14</v>
      </c>
      <c r="D257" s="813" t="s">
        <v>1033</v>
      </c>
      <c r="E257" s="813"/>
      <c r="F257" s="813"/>
      <c r="G257" s="810" t="s">
        <v>988</v>
      </c>
      <c r="H257" s="811"/>
      <c r="I257" s="812"/>
    </row>
    <row r="258" spans="2:9">
      <c r="B258" s="503">
        <v>15</v>
      </c>
      <c r="C258" s="503">
        <v>15</v>
      </c>
      <c r="D258" s="813" t="s">
        <v>1034</v>
      </c>
      <c r="E258" s="813"/>
      <c r="F258" s="813"/>
      <c r="G258" s="823" t="s">
        <v>986</v>
      </c>
      <c r="H258" s="823"/>
      <c r="I258" s="823"/>
    </row>
    <row r="259" spans="2:9">
      <c r="B259" s="503">
        <v>16</v>
      </c>
      <c r="C259" s="503">
        <v>16</v>
      </c>
      <c r="D259" s="813" t="s">
        <v>995</v>
      </c>
      <c r="E259" s="813"/>
      <c r="F259" s="813"/>
      <c r="G259" s="823" t="s">
        <v>988</v>
      </c>
      <c r="H259" s="823"/>
      <c r="I259" s="823"/>
    </row>
    <row r="260" spans="2:9">
      <c r="B260" s="503">
        <v>17</v>
      </c>
      <c r="C260" s="503">
        <v>17</v>
      </c>
      <c r="D260" s="813" t="s">
        <v>1015</v>
      </c>
      <c r="E260" s="813"/>
      <c r="F260" s="813"/>
      <c r="G260" s="823" t="s">
        <v>988</v>
      </c>
      <c r="H260" s="823"/>
      <c r="I260" s="823"/>
    </row>
    <row r="263" spans="2:9" ht="12" customHeight="1"/>
    <row r="270" spans="2:9" ht="9.75" customHeight="1"/>
  </sheetData>
  <mergeCells count="233">
    <mergeCell ref="D252:F252"/>
    <mergeCell ref="G252:I252"/>
    <mergeCell ref="D253:F253"/>
    <mergeCell ref="G253:I253"/>
    <mergeCell ref="D254:F254"/>
    <mergeCell ref="G254:I254"/>
    <mergeCell ref="D259:F259"/>
    <mergeCell ref="D260:F260"/>
    <mergeCell ref="G259:I259"/>
    <mergeCell ref="G260:I260"/>
    <mergeCell ref="D255:F255"/>
    <mergeCell ref="G255:I255"/>
    <mergeCell ref="D256:F256"/>
    <mergeCell ref="G256:I256"/>
    <mergeCell ref="D258:F258"/>
    <mergeCell ref="G258:I258"/>
    <mergeCell ref="D257:F257"/>
    <mergeCell ref="G257:I257"/>
    <mergeCell ref="D250:F250"/>
    <mergeCell ref="G250:I250"/>
    <mergeCell ref="D251:F251"/>
    <mergeCell ref="G251:I251"/>
    <mergeCell ref="D246:F246"/>
    <mergeCell ref="G246:I246"/>
    <mergeCell ref="D247:F247"/>
    <mergeCell ref="G247:I247"/>
    <mergeCell ref="D248:F248"/>
    <mergeCell ref="G248:I248"/>
    <mergeCell ref="D234:F234"/>
    <mergeCell ref="G234:I234"/>
    <mergeCell ref="D235:F235"/>
    <mergeCell ref="G235:I235"/>
    <mergeCell ref="D236:F236"/>
    <mergeCell ref="D239:F239"/>
    <mergeCell ref="G239:I239"/>
    <mergeCell ref="D249:F249"/>
    <mergeCell ref="G249:I249"/>
    <mergeCell ref="D243:F243"/>
    <mergeCell ref="G243:I243"/>
    <mergeCell ref="D244:F244"/>
    <mergeCell ref="G244:I244"/>
    <mergeCell ref="D245:F245"/>
    <mergeCell ref="G245:I245"/>
    <mergeCell ref="D240:F240"/>
    <mergeCell ref="G240:I240"/>
    <mergeCell ref="B242:I242"/>
    <mergeCell ref="G236:I236"/>
    <mergeCell ref="D237:F237"/>
    <mergeCell ref="G237:I237"/>
    <mergeCell ref="D238:F238"/>
    <mergeCell ref="G238:I238"/>
    <mergeCell ref="D233:F233"/>
    <mergeCell ref="G233:I233"/>
    <mergeCell ref="D223:F223"/>
    <mergeCell ref="G223:I223"/>
    <mergeCell ref="D210:F210"/>
    <mergeCell ref="G210:I210"/>
    <mergeCell ref="G224:I224"/>
    <mergeCell ref="G217:I217"/>
    <mergeCell ref="G218:I218"/>
    <mergeCell ref="D226:F226"/>
    <mergeCell ref="G226:I226"/>
    <mergeCell ref="D227:F227"/>
    <mergeCell ref="G227:I227"/>
    <mergeCell ref="D228:F228"/>
    <mergeCell ref="G228:I228"/>
    <mergeCell ref="D229:F229"/>
    <mergeCell ref="G229:I229"/>
    <mergeCell ref="D231:F231"/>
    <mergeCell ref="G231:I231"/>
    <mergeCell ref="F137:I137"/>
    <mergeCell ref="F132:I132"/>
    <mergeCell ref="F133:I133"/>
    <mergeCell ref="F134:I134"/>
    <mergeCell ref="F135:I135"/>
    <mergeCell ref="D232:F232"/>
    <mergeCell ref="G232:I232"/>
    <mergeCell ref="D230:F230"/>
    <mergeCell ref="G230:I230"/>
    <mergeCell ref="F139:I139"/>
    <mergeCell ref="E78:F78"/>
    <mergeCell ref="E79:F79"/>
    <mergeCell ref="E80:F80"/>
    <mergeCell ref="E81:F81"/>
    <mergeCell ref="E82:F82"/>
    <mergeCell ref="B119:J119"/>
    <mergeCell ref="B120:J120"/>
    <mergeCell ref="B166:J166"/>
    <mergeCell ref="D225:F225"/>
    <mergeCell ref="G225:I225"/>
    <mergeCell ref="D219:F219"/>
    <mergeCell ref="G219:I219"/>
    <mergeCell ref="D220:F220"/>
    <mergeCell ref="G220:I220"/>
    <mergeCell ref="D221:F221"/>
    <mergeCell ref="G221:I221"/>
    <mergeCell ref="D222:F222"/>
    <mergeCell ref="G222:I222"/>
    <mergeCell ref="B194:J194"/>
    <mergeCell ref="F140:I140"/>
    <mergeCell ref="B181:J181"/>
    <mergeCell ref="B154:J154"/>
    <mergeCell ref="B169:J169"/>
    <mergeCell ref="F136:I136"/>
    <mergeCell ref="B113:J113"/>
    <mergeCell ref="B122:J122"/>
    <mergeCell ref="B125:J125"/>
    <mergeCell ref="B128:J128"/>
    <mergeCell ref="B191:J191"/>
    <mergeCell ref="B53:J55"/>
    <mergeCell ref="B24:J25"/>
    <mergeCell ref="B33:J35"/>
    <mergeCell ref="C61:J61"/>
    <mergeCell ref="B57:J58"/>
    <mergeCell ref="B42:I42"/>
    <mergeCell ref="B75:J76"/>
    <mergeCell ref="B110:J110"/>
    <mergeCell ref="B116:J116"/>
    <mergeCell ref="B49:J51"/>
    <mergeCell ref="G99:I99"/>
    <mergeCell ref="G100:I100"/>
    <mergeCell ref="G101:I101"/>
    <mergeCell ref="G90:I90"/>
    <mergeCell ref="G91:I91"/>
    <mergeCell ref="G92:I92"/>
    <mergeCell ref="G93:I93"/>
    <mergeCell ref="G94:I94"/>
    <mergeCell ref="G96:I96"/>
    <mergeCell ref="A1:J1"/>
    <mergeCell ref="A2:J2"/>
    <mergeCell ref="A3:J3"/>
    <mergeCell ref="A4:J4"/>
    <mergeCell ref="B130:D130"/>
    <mergeCell ref="F130:I130"/>
    <mergeCell ref="G85:I85"/>
    <mergeCell ref="G86:I86"/>
    <mergeCell ref="G87:I87"/>
    <mergeCell ref="G88:I88"/>
    <mergeCell ref="B67:J68"/>
    <mergeCell ref="B71:J72"/>
    <mergeCell ref="B7:J15"/>
    <mergeCell ref="B17:J22"/>
    <mergeCell ref="B30:J31"/>
    <mergeCell ref="B38:J39"/>
    <mergeCell ref="G89:I89"/>
    <mergeCell ref="E87:F87"/>
    <mergeCell ref="E88:F88"/>
    <mergeCell ref="E89:F89"/>
    <mergeCell ref="B87:D87"/>
    <mergeCell ref="G78:I78"/>
    <mergeCell ref="B45:J46"/>
    <mergeCell ref="E83:F83"/>
    <mergeCell ref="G97:I97"/>
    <mergeCell ref="G98:I98"/>
    <mergeCell ref="G79:I79"/>
    <mergeCell ref="G80:I80"/>
    <mergeCell ref="G81:I81"/>
    <mergeCell ref="G82:I82"/>
    <mergeCell ref="G83:I83"/>
    <mergeCell ref="G84:I84"/>
    <mergeCell ref="G95:I95"/>
    <mergeCell ref="E84:F84"/>
    <mergeCell ref="E85:F85"/>
    <mergeCell ref="E86:F86"/>
    <mergeCell ref="B88:D88"/>
    <mergeCell ref="E90:F90"/>
    <mergeCell ref="E91:F91"/>
    <mergeCell ref="E92:F92"/>
    <mergeCell ref="E93:F93"/>
    <mergeCell ref="E94:F94"/>
    <mergeCell ref="B89:D89"/>
    <mergeCell ref="B90:D90"/>
    <mergeCell ref="B91:D91"/>
    <mergeCell ref="B92:D92"/>
    <mergeCell ref="B93:D93"/>
    <mergeCell ref="B94:D94"/>
    <mergeCell ref="B78:D78"/>
    <mergeCell ref="B79:D79"/>
    <mergeCell ref="B80:D80"/>
    <mergeCell ref="B81:D81"/>
    <mergeCell ref="B82:D82"/>
    <mergeCell ref="B83:D83"/>
    <mergeCell ref="B84:D84"/>
    <mergeCell ref="B85:D85"/>
    <mergeCell ref="B86:D86"/>
    <mergeCell ref="B95:D95"/>
    <mergeCell ref="B96:D96"/>
    <mergeCell ref="B97:D97"/>
    <mergeCell ref="B98:D98"/>
    <mergeCell ref="B99:D99"/>
    <mergeCell ref="D224:F224"/>
    <mergeCell ref="E99:F99"/>
    <mergeCell ref="E100:F100"/>
    <mergeCell ref="E101:F101"/>
    <mergeCell ref="D216:F216"/>
    <mergeCell ref="E96:F96"/>
    <mergeCell ref="E97:F97"/>
    <mergeCell ref="E98:F98"/>
    <mergeCell ref="E95:F95"/>
    <mergeCell ref="D217:F217"/>
    <mergeCell ref="D218:F218"/>
    <mergeCell ref="D213:F213"/>
    <mergeCell ref="D214:F214"/>
    <mergeCell ref="D215:F215"/>
    <mergeCell ref="D212:F212"/>
    <mergeCell ref="B146:J146"/>
    <mergeCell ref="B199:J199"/>
    <mergeCell ref="B202:J202"/>
    <mergeCell ref="B206:J206"/>
    <mergeCell ref="B100:D100"/>
    <mergeCell ref="B101:D101"/>
    <mergeCell ref="B102:D102"/>
    <mergeCell ref="B172:J172"/>
    <mergeCell ref="B175:J175"/>
    <mergeCell ref="B178:J178"/>
    <mergeCell ref="E102:F102"/>
    <mergeCell ref="G102:I102"/>
    <mergeCell ref="G216:I216"/>
    <mergeCell ref="G213:I213"/>
    <mergeCell ref="G214:I214"/>
    <mergeCell ref="G215:I215"/>
    <mergeCell ref="G212:I212"/>
    <mergeCell ref="B149:J149"/>
    <mergeCell ref="B151:J151"/>
    <mergeCell ref="B184:J184"/>
    <mergeCell ref="B188:J188"/>
    <mergeCell ref="B196:J196"/>
    <mergeCell ref="D211:F211"/>
    <mergeCell ref="G211:I211"/>
    <mergeCell ref="B143:J143"/>
    <mergeCell ref="B156:F156"/>
    <mergeCell ref="B105:J105"/>
    <mergeCell ref="F138:I138"/>
  </mergeCells>
  <pageMargins left="0.59" right="0.43" top="0.55000000000000004" bottom="0.52" header="0.196850393700787" footer="0.28000000000000003"/>
  <pageSetup paperSize="9" firstPageNumber="5" orientation="portrait" useFirstPageNumber="1" r:id="rId1"/>
  <headerFooter>
    <oddFooter>&amp;C&amp;P</oddFooter>
  </headerFooter>
  <rowBreaks count="5" manualBreakCount="5">
    <brk id="55" max="9" man="1"/>
    <brk id="102" max="9" man="1"/>
    <brk id="129" max="9" man="1"/>
    <brk id="185" max="9" man="1"/>
    <brk id="223" max="9" man="1"/>
  </rowBreaks>
</worksheet>
</file>

<file path=xl/worksheets/sheet6.xml><?xml version="1.0" encoding="utf-8"?>
<worksheet xmlns="http://schemas.openxmlformats.org/spreadsheetml/2006/main" xmlns:r="http://schemas.openxmlformats.org/officeDocument/2006/relationships">
  <sheetPr>
    <tabColor rgb="FFFF0000"/>
  </sheetPr>
  <dimension ref="A1:V519"/>
  <sheetViews>
    <sheetView view="pageBreakPreview" topLeftCell="A202" zoomScaleSheetLayoutView="100" workbookViewId="0">
      <selection activeCell="G269" sqref="G269"/>
    </sheetView>
  </sheetViews>
  <sheetFormatPr defaultRowHeight="16.5" customHeight="1"/>
  <cols>
    <col min="1" max="1" width="5.5703125" style="499" bestFit="1" customWidth="1"/>
    <col min="2" max="2" width="5" style="353" customWidth="1"/>
    <col min="3" max="3" width="31.140625" style="353" customWidth="1"/>
    <col min="4" max="4" width="10.140625" style="353" customWidth="1"/>
    <col min="5" max="5" width="18.5703125" style="353" bestFit="1" customWidth="1"/>
    <col min="6" max="6" width="1" style="353" customWidth="1"/>
    <col min="7" max="7" width="15.7109375" style="353" bestFit="1" customWidth="1"/>
    <col min="8" max="8" width="1" style="353" customWidth="1"/>
    <col min="9" max="9" width="16" style="353" customWidth="1"/>
    <col min="10" max="10" width="1.28515625" style="353" customWidth="1"/>
    <col min="11" max="12" width="1.42578125" style="353" customWidth="1"/>
    <col min="13" max="13" width="0.42578125" style="353" customWidth="1"/>
    <col min="14" max="14" width="15" style="353" bestFit="1" customWidth="1"/>
    <col min="15" max="15" width="18.5703125" style="353" customWidth="1"/>
    <col min="16" max="16" width="17.85546875" style="353" customWidth="1"/>
    <col min="17" max="21" width="9.140625" style="353"/>
    <col min="22" max="22" width="15.85546875" style="353" customWidth="1"/>
    <col min="23" max="16384" width="9.140625" style="353"/>
  </cols>
  <sheetData>
    <row r="1" spans="1:13" ht="15">
      <c r="F1" s="550"/>
      <c r="G1" s="808" t="s">
        <v>138</v>
      </c>
      <c r="H1" s="808"/>
      <c r="I1" s="808"/>
      <c r="J1" s="373"/>
      <c r="K1" s="373"/>
      <c r="L1" s="550"/>
      <c r="M1" s="550"/>
    </row>
    <row r="2" spans="1:13" ht="16.5" customHeight="1">
      <c r="F2" s="504"/>
      <c r="G2" s="615" t="s">
        <v>1081</v>
      </c>
      <c r="H2" s="503"/>
      <c r="I2" s="615" t="s">
        <v>926</v>
      </c>
      <c r="J2" s="504"/>
      <c r="L2" s="504"/>
      <c r="M2" s="504"/>
    </row>
    <row r="3" spans="1:13" ht="15">
      <c r="A3" s="513" t="s">
        <v>542</v>
      </c>
      <c r="B3" s="383" t="s">
        <v>9</v>
      </c>
      <c r="C3" s="383"/>
      <c r="D3" s="383"/>
    </row>
    <row r="4" spans="1:13" ht="15">
      <c r="B4" s="383" t="s">
        <v>540</v>
      </c>
      <c r="C4" s="383"/>
      <c r="D4" s="383"/>
      <c r="F4" s="499"/>
      <c r="G4" s="499"/>
      <c r="H4" s="499"/>
      <c r="I4" s="499"/>
      <c r="J4" s="499"/>
      <c r="K4" s="499"/>
    </row>
    <row r="5" spans="1:13" ht="6" customHeight="1">
      <c r="B5" s="449"/>
      <c r="C5" s="449"/>
      <c r="D5" s="449"/>
      <c r="F5" s="499"/>
      <c r="G5" s="499"/>
      <c r="H5" s="499"/>
      <c r="I5" s="499"/>
      <c r="J5" s="499"/>
      <c r="K5" s="499"/>
    </row>
    <row r="6" spans="1:13" ht="15">
      <c r="B6" s="364" t="s">
        <v>159</v>
      </c>
      <c r="C6" s="364"/>
      <c r="D6" s="364"/>
      <c r="E6" s="448"/>
      <c r="F6" s="449"/>
      <c r="G6" s="526" t="e">
        <f>#REF!</f>
        <v>#REF!</v>
      </c>
      <c r="H6" s="449"/>
      <c r="I6" s="526">
        <v>3507733270.25</v>
      </c>
      <c r="J6" s="449"/>
      <c r="K6" s="449"/>
    </row>
    <row r="7" spans="1:13" ht="15">
      <c r="B7" s="364" t="s">
        <v>689</v>
      </c>
      <c r="C7" s="364" t="s">
        <v>1107</v>
      </c>
      <c r="D7" s="364"/>
      <c r="E7" s="448"/>
      <c r="F7" s="448"/>
      <c r="G7" s="527" t="e">
        <f>#REF!</f>
        <v>#REF!</v>
      </c>
      <c r="H7" s="448"/>
      <c r="I7" s="527">
        <v>6017496083.8900003</v>
      </c>
      <c r="J7" s="448"/>
      <c r="K7" s="448"/>
    </row>
    <row r="8" spans="1:13" ht="15">
      <c r="B8" s="364" t="s">
        <v>557</v>
      </c>
      <c r="C8" s="364" t="s">
        <v>574</v>
      </c>
      <c r="D8" s="364"/>
      <c r="E8" s="551"/>
      <c r="F8" s="448"/>
      <c r="G8" s="514" t="e">
        <f>#REF!</f>
        <v>#REF!</v>
      </c>
      <c r="H8" s="448"/>
      <c r="I8" s="514">
        <v>26095415</v>
      </c>
      <c r="J8" s="448"/>
      <c r="K8" s="448"/>
    </row>
    <row r="9" spans="1:13" ht="16.5" customHeight="1">
      <c r="B9" s="364"/>
      <c r="C9" s="364"/>
      <c r="D9" s="364"/>
      <c r="E9" s="551"/>
      <c r="F9" s="448"/>
      <c r="G9" s="616" t="e">
        <f>G6+G7-+G8</f>
        <v>#REF!</v>
      </c>
      <c r="H9" s="448"/>
      <c r="I9" s="616">
        <f>I6+I7-+I8</f>
        <v>9499133939.1399994</v>
      </c>
      <c r="J9" s="448"/>
      <c r="K9" s="448"/>
    </row>
    <row r="10" spans="1:13" ht="8.25" customHeight="1">
      <c r="B10" s="449"/>
      <c r="C10" s="449"/>
      <c r="D10" s="449"/>
      <c r="E10" s="551"/>
      <c r="F10" s="449"/>
      <c r="H10" s="449"/>
      <c r="I10" s="449"/>
      <c r="J10" s="449"/>
      <c r="K10" s="449"/>
    </row>
    <row r="11" spans="1:13" ht="15">
      <c r="B11" s="364" t="s">
        <v>541</v>
      </c>
      <c r="C11" s="364"/>
      <c r="D11" s="364"/>
      <c r="E11" s="448"/>
      <c r="F11" s="449"/>
      <c r="G11" s="449"/>
      <c r="H11" s="449"/>
      <c r="I11" s="449"/>
      <c r="J11" s="449"/>
      <c r="K11" s="449"/>
    </row>
    <row r="12" spans="1:13" ht="3.75" customHeight="1">
      <c r="B12" s="364"/>
      <c r="C12" s="364"/>
      <c r="D12" s="364"/>
      <c r="E12" s="448"/>
      <c r="F12" s="449"/>
      <c r="G12" s="449"/>
      <c r="H12" s="449"/>
      <c r="I12" s="449"/>
      <c r="J12" s="449"/>
      <c r="K12" s="449"/>
    </row>
    <row r="13" spans="1:13" ht="15">
      <c r="B13" s="364" t="s">
        <v>159</v>
      </c>
      <c r="C13" s="364"/>
      <c r="D13" s="364"/>
      <c r="E13" s="551"/>
      <c r="F13" s="449"/>
      <c r="G13" s="553" t="e">
        <f>#REF!</f>
        <v>#REF!</v>
      </c>
      <c r="H13" s="449"/>
      <c r="I13" s="526">
        <v>1785933264.3499999</v>
      </c>
      <c r="J13" s="449"/>
      <c r="K13" s="449"/>
    </row>
    <row r="14" spans="1:13" ht="15">
      <c r="B14" s="364" t="s">
        <v>1125</v>
      </c>
      <c r="C14" s="364"/>
      <c r="D14" s="364"/>
      <c r="F14" s="449"/>
      <c r="G14" s="514" t="e">
        <f>#REF!</f>
        <v>#REF!</v>
      </c>
      <c r="H14" s="449"/>
      <c r="I14" s="514">
        <v>445883358.6490854</v>
      </c>
      <c r="J14" s="449"/>
      <c r="K14" s="449"/>
    </row>
    <row r="15" spans="1:13" ht="16.5" customHeight="1">
      <c r="B15" s="364"/>
      <c r="C15" s="364"/>
      <c r="D15" s="364"/>
      <c r="E15" s="551"/>
      <c r="F15" s="449"/>
      <c r="G15" s="551" t="e">
        <f>SUM(G13:G14)</f>
        <v>#REF!</v>
      </c>
      <c r="H15" s="449"/>
      <c r="I15" s="551">
        <f>SUM(I13:I14)</f>
        <v>2231816622.9990854</v>
      </c>
      <c r="J15" s="449"/>
      <c r="K15" s="449"/>
    </row>
    <row r="16" spans="1:13" ht="15">
      <c r="B16" s="364" t="s">
        <v>1108</v>
      </c>
      <c r="C16" s="364"/>
      <c r="D16" s="364"/>
      <c r="E16" s="551"/>
      <c r="F16" s="449"/>
      <c r="G16" s="551" t="e">
        <f>#REF!</f>
        <v>#REF!</v>
      </c>
      <c r="H16" s="449"/>
      <c r="I16" s="449">
        <v>44651</v>
      </c>
      <c r="J16" s="449"/>
      <c r="K16" s="449"/>
    </row>
    <row r="17" spans="1:14" ht="16.5" customHeight="1">
      <c r="B17" s="364"/>
      <c r="C17" s="364"/>
      <c r="D17" s="364"/>
      <c r="E17" s="551"/>
      <c r="F17" s="449"/>
      <c r="G17" s="552" t="e">
        <f>G15-G16</f>
        <v>#REF!</v>
      </c>
      <c r="H17" s="449"/>
      <c r="I17" s="552">
        <f>I15-I16-0.45</f>
        <v>2231771971.5490856</v>
      </c>
      <c r="J17" s="449"/>
      <c r="K17" s="449"/>
    </row>
    <row r="18" spans="1:14" ht="15.75" thickBot="1">
      <c r="B18" s="364" t="s">
        <v>539</v>
      </c>
      <c r="C18" s="364"/>
      <c r="D18" s="364"/>
      <c r="E18" s="448"/>
      <c r="F18" s="449"/>
      <c r="G18" s="522" t="e">
        <f>G9-G17</f>
        <v>#REF!</v>
      </c>
      <c r="H18" s="449"/>
      <c r="I18" s="522">
        <f>I9-I17</f>
        <v>7267361967.5909138</v>
      </c>
      <c r="J18" s="449"/>
      <c r="K18" s="449"/>
    </row>
    <row r="19" spans="1:14" ht="16.5" customHeight="1" thickTop="1">
      <c r="L19" s="499"/>
      <c r="M19" s="499"/>
    </row>
    <row r="20" spans="1:14" ht="16.5" customHeight="1">
      <c r="B20" s="809" t="s">
        <v>1244</v>
      </c>
      <c r="C20" s="809"/>
      <c r="D20" s="809"/>
      <c r="E20" s="809"/>
      <c r="F20" s="809"/>
      <c r="G20" s="809"/>
      <c r="H20" s="809"/>
      <c r="I20" s="809"/>
      <c r="L20" s="499"/>
      <c r="M20" s="499"/>
    </row>
    <row r="21" spans="1:14" ht="14.25" customHeight="1">
      <c r="B21" s="809"/>
      <c r="C21" s="809"/>
      <c r="D21" s="809"/>
      <c r="E21" s="809"/>
      <c r="F21" s="809"/>
      <c r="G21" s="809"/>
      <c r="H21" s="809"/>
      <c r="I21" s="809"/>
      <c r="L21" s="499"/>
      <c r="M21" s="499"/>
    </row>
    <row r="22" spans="1:14" ht="14.25" customHeight="1">
      <c r="B22" s="409"/>
      <c r="C22" s="409"/>
      <c r="D22" s="409"/>
      <c r="E22" s="409"/>
      <c r="F22" s="409"/>
      <c r="G22" s="409"/>
      <c r="H22" s="409"/>
      <c r="I22" s="409"/>
      <c r="L22" s="499"/>
      <c r="M22" s="499"/>
    </row>
    <row r="23" spans="1:14" ht="6" hidden="1" customHeight="1">
      <c r="B23" s="419"/>
      <c r="C23" s="419"/>
      <c r="D23" s="419"/>
      <c r="E23" s="419"/>
      <c r="F23" s="419"/>
      <c r="G23" s="419"/>
      <c r="H23" s="419"/>
      <c r="I23" s="419"/>
      <c r="J23" s="419"/>
      <c r="K23" s="419"/>
      <c r="L23" s="419"/>
      <c r="M23" s="419"/>
    </row>
    <row r="24" spans="1:14" ht="10.5" hidden="1" customHeight="1">
      <c r="B24" s="409"/>
      <c r="C24" s="409"/>
      <c r="D24" s="409"/>
      <c r="E24" s="409"/>
      <c r="F24" s="409"/>
      <c r="G24" s="409"/>
      <c r="H24" s="409"/>
      <c r="I24" s="409"/>
      <c r="J24" s="409"/>
      <c r="K24" s="409"/>
      <c r="L24" s="419"/>
      <c r="M24" s="419"/>
    </row>
    <row r="25" spans="1:14" ht="15">
      <c r="A25" s="513">
        <v>5</v>
      </c>
      <c r="B25" s="383" t="s">
        <v>564</v>
      </c>
      <c r="C25" s="383"/>
      <c r="D25" s="383"/>
      <c r="E25" s="554"/>
      <c r="L25" s="515"/>
      <c r="M25" s="515"/>
    </row>
    <row r="26" spans="1:14" ht="3" customHeight="1">
      <c r="E26" s="373"/>
      <c r="L26" s="504"/>
      <c r="M26" s="504"/>
    </row>
    <row r="27" spans="1:14" ht="16.5" customHeight="1">
      <c r="A27" s="353"/>
      <c r="B27" s="353" t="str">
        <f>B31</f>
        <v>Trade receivables</v>
      </c>
      <c r="E27" s="499" t="s">
        <v>1197</v>
      </c>
      <c r="F27" s="499"/>
      <c r="G27" s="526" t="e">
        <f>G42</f>
        <v>#REF!</v>
      </c>
      <c r="H27" s="499"/>
      <c r="I27" s="526">
        <f>I42</f>
        <v>1618408865.6399996</v>
      </c>
      <c r="J27" s="499"/>
      <c r="K27" s="499"/>
      <c r="L27" s="555"/>
      <c r="M27" s="555"/>
    </row>
    <row r="28" spans="1:14" ht="16.5" customHeight="1">
      <c r="A28" s="556"/>
      <c r="B28" s="380" t="str">
        <f>B64</f>
        <v>Other receivables</v>
      </c>
      <c r="C28" s="380"/>
      <c r="E28" s="499" t="s">
        <v>1198</v>
      </c>
      <c r="F28" s="499"/>
      <c r="G28" s="557">
        <f>G69</f>
        <v>42571624.189999998</v>
      </c>
      <c r="H28" s="499"/>
      <c r="I28" s="557">
        <f>I69</f>
        <v>41588193.049999997</v>
      </c>
      <c r="J28" s="499"/>
      <c r="K28" s="499"/>
      <c r="L28" s="555"/>
      <c r="M28" s="555"/>
      <c r="N28" s="353">
        <f>G37+G28</f>
        <v>2275953446.2999997</v>
      </c>
    </row>
    <row r="29" spans="1:14" ht="16.5" customHeight="1" thickBot="1">
      <c r="A29" s="556"/>
      <c r="B29" s="383"/>
      <c r="C29" s="383"/>
      <c r="D29" s="383"/>
      <c r="E29" s="558"/>
      <c r="G29" s="559" t="e">
        <f>SUM(G27:G28)</f>
        <v>#REF!</v>
      </c>
      <c r="I29" s="559">
        <f>SUM(I27:I28)</f>
        <v>1659997058.6899996</v>
      </c>
      <c r="L29" s="560"/>
      <c r="M29" s="560"/>
    </row>
    <row r="30" spans="1:14" ht="9.75" customHeight="1" thickTop="1">
      <c r="A30" s="556"/>
      <c r="B30" s="383"/>
      <c r="C30" s="383"/>
      <c r="D30" s="383"/>
      <c r="E30" s="558"/>
      <c r="L30" s="560"/>
      <c r="M30" s="560"/>
    </row>
    <row r="31" spans="1:14" ht="16.5" customHeight="1">
      <c r="A31" s="556">
        <v>5.0999999999999996</v>
      </c>
      <c r="B31" s="383" t="s">
        <v>565</v>
      </c>
      <c r="C31" s="383"/>
      <c r="D31" s="383"/>
      <c r="E31" s="558"/>
      <c r="L31" s="515"/>
      <c r="M31" s="515"/>
    </row>
    <row r="32" spans="1:14" ht="1.5" customHeight="1">
      <c r="E32" s="550"/>
      <c r="L32" s="504"/>
      <c r="M32" s="504"/>
    </row>
    <row r="33" spans="1:22" ht="16.5" customHeight="1">
      <c r="A33" s="556"/>
      <c r="B33" s="383" t="s">
        <v>178</v>
      </c>
      <c r="C33" s="383"/>
      <c r="D33" s="561"/>
      <c r="E33" s="516"/>
      <c r="G33" s="553">
        <f>I37</f>
        <v>1777847991.8899996</v>
      </c>
      <c r="I33" s="562">
        <v>1502697984.4099998</v>
      </c>
      <c r="L33" s="515"/>
      <c r="M33" s="515"/>
      <c r="N33" s="353">
        <f>G33-1777844103</f>
        <v>3888.889999628067</v>
      </c>
    </row>
    <row r="34" spans="1:22" ht="16.5" customHeight="1">
      <c r="A34" s="556"/>
      <c r="B34" s="383" t="s">
        <v>1109</v>
      </c>
      <c r="C34" s="383"/>
      <c r="D34" s="515"/>
      <c r="E34" s="551"/>
      <c r="G34" s="557">
        <f>966305239+461375190+73182391.91+23446712.1+2194855.73+828429923.98+4032520.61-4392620.11+159201+791898.79+791898.79</f>
        <v>2356317211.8000002</v>
      </c>
      <c r="I34" s="563">
        <f>337287520.61+466027575.69+57134012.44+36606722.68+12883499.56+813227721.97</f>
        <v>1723167052.9499998</v>
      </c>
      <c r="L34" s="515"/>
      <c r="M34" s="515"/>
      <c r="O34" s="436">
        <v>2354934312.3599997</v>
      </c>
      <c r="P34" s="436">
        <v>1896570564.1099999</v>
      </c>
      <c r="R34" s="364" t="s">
        <v>1213</v>
      </c>
      <c r="S34" s="364"/>
      <c r="T34" s="364"/>
      <c r="U34" s="364"/>
      <c r="V34" s="449">
        <v>1566230.47</v>
      </c>
    </row>
    <row r="35" spans="1:22" ht="16.5" customHeight="1">
      <c r="A35" s="556"/>
      <c r="B35" s="383"/>
      <c r="C35" s="383"/>
      <c r="D35" s="510"/>
      <c r="E35" s="551"/>
      <c r="G35" s="551">
        <f>SUM(G33:G34)</f>
        <v>4134165203.6899996</v>
      </c>
      <c r="I35" s="551">
        <f>SUM(I33:I34)</f>
        <v>3225865037.3599997</v>
      </c>
      <c r="L35" s="515"/>
      <c r="M35" s="515"/>
      <c r="R35" s="364" t="s">
        <v>1214</v>
      </c>
      <c r="S35" s="364"/>
      <c r="T35" s="364"/>
      <c r="U35" s="364"/>
      <c r="V35" s="449">
        <v>2159000</v>
      </c>
    </row>
    <row r="36" spans="1:22" ht="16.5" customHeight="1">
      <c r="A36" s="556"/>
      <c r="B36" s="383" t="s">
        <v>1110</v>
      </c>
      <c r="C36" s="383"/>
      <c r="D36" s="510"/>
      <c r="E36" s="551"/>
      <c r="G36" s="564">
        <f>623862055.16+399992665.61+65798479.87+31457503+1820389+773639471.47+487587+2159000+1566230.47</f>
        <v>1900783381.5799999</v>
      </c>
      <c r="I36" s="565">
        <f>160117483.84+415094438.65+44860248.43+12149762+1142117+683685237-6586000+176445+92809394+44548810+23000-3890-0.45</f>
        <v>1448017045.47</v>
      </c>
      <c r="L36" s="515"/>
      <c r="M36" s="515"/>
      <c r="N36" s="624" t="s">
        <v>1127</v>
      </c>
      <c r="O36" s="353">
        <f>G34-O34</f>
        <v>1382899.4400005341</v>
      </c>
      <c r="P36" s="353">
        <f>G36-P34</f>
        <v>4212817.4700000286</v>
      </c>
      <c r="R36" s="353" t="s">
        <v>1214</v>
      </c>
      <c r="V36" s="353">
        <v>487587</v>
      </c>
    </row>
    <row r="37" spans="1:22" ht="16.5" customHeight="1">
      <c r="A37" s="556"/>
      <c r="B37" s="383" t="s">
        <v>180</v>
      </c>
      <c r="C37" s="383"/>
      <c r="D37" s="510"/>
      <c r="E37" s="551"/>
      <c r="G37" s="616">
        <f>G35-G36</f>
        <v>2233381822.1099997</v>
      </c>
      <c r="I37" s="616">
        <f>I35-I36</f>
        <v>1777847991.8899996</v>
      </c>
      <c r="L37" s="515"/>
      <c r="M37" s="515"/>
      <c r="P37" s="353">
        <v>2281174694.1500001</v>
      </c>
      <c r="R37" s="364" t="s">
        <v>1216</v>
      </c>
      <c r="S37" s="364"/>
      <c r="T37" s="364"/>
      <c r="U37" s="364"/>
      <c r="V37" s="364">
        <v>159201</v>
      </c>
    </row>
    <row r="38" spans="1:22" ht="16.5" customHeight="1">
      <c r="A38" s="556"/>
      <c r="B38" s="353" t="s">
        <v>748</v>
      </c>
      <c r="C38" s="383" t="s">
        <v>749</v>
      </c>
      <c r="D38" s="510"/>
      <c r="E38" s="516"/>
      <c r="G38" s="551"/>
      <c r="L38" s="515"/>
      <c r="M38" s="515"/>
      <c r="P38" s="353">
        <f>P36-P37</f>
        <v>-2276961876.6800003</v>
      </c>
    </row>
    <row r="39" spans="1:22" ht="16.5" customHeight="1">
      <c r="A39" s="556"/>
      <c r="C39" s="383" t="s">
        <v>178</v>
      </c>
      <c r="D39" s="383"/>
      <c r="E39" s="551"/>
      <c r="G39" s="553">
        <f>I41</f>
        <v>159439126</v>
      </c>
      <c r="I39" s="562">
        <f>132215809+0.45</f>
        <v>132215809.45</v>
      </c>
      <c r="L39" s="515"/>
      <c r="M39" s="515"/>
    </row>
    <row r="40" spans="1:22" ht="16.5" customHeight="1">
      <c r="A40" s="556"/>
      <c r="B40" s="383"/>
      <c r="C40" s="383" t="s">
        <v>1109</v>
      </c>
      <c r="D40" s="383"/>
      <c r="E40" s="516"/>
      <c r="G40" s="557" t="e">
        <f>#REF!</f>
        <v>#REF!</v>
      </c>
      <c r="I40" s="563">
        <f>27223317-0.45</f>
        <v>27223316.550000001</v>
      </c>
      <c r="L40" s="515"/>
      <c r="M40" s="515"/>
    </row>
    <row r="41" spans="1:22" ht="16.5" customHeight="1">
      <c r="A41" s="556"/>
      <c r="D41" s="383"/>
      <c r="E41" s="551"/>
      <c r="G41" s="564" t="e">
        <f>SUM(G39:G40)</f>
        <v>#REF!</v>
      </c>
      <c r="I41" s="564">
        <f>SUM(I39:I40)</f>
        <v>159439126</v>
      </c>
      <c r="L41" s="373"/>
      <c r="M41" s="373"/>
      <c r="O41" s="353">
        <v>241298152.33000001</v>
      </c>
    </row>
    <row r="42" spans="1:22" ht="16.5" customHeight="1" thickBot="1">
      <c r="A42" s="556"/>
      <c r="B42" s="383" t="s">
        <v>654</v>
      </c>
      <c r="C42" s="383"/>
      <c r="D42" s="383"/>
      <c r="E42" s="558"/>
      <c r="G42" s="559" t="e">
        <f>G37-G41-0.25</f>
        <v>#REF!</v>
      </c>
      <c r="I42" s="559">
        <f>I37-I41-0.25</f>
        <v>1618408865.6399996</v>
      </c>
      <c r="L42" s="560"/>
      <c r="M42" s="560"/>
      <c r="O42" s="353" t="e">
        <f>G41</f>
        <v>#REF!</v>
      </c>
    </row>
    <row r="43" spans="1:22" ht="9.75" customHeight="1" thickTop="1">
      <c r="A43" s="556"/>
      <c r="B43" s="383"/>
      <c r="C43" s="383"/>
      <c r="D43" s="383"/>
      <c r="E43" s="558"/>
      <c r="L43" s="560"/>
      <c r="M43" s="560"/>
    </row>
    <row r="44" spans="1:22" ht="18.75" customHeight="1">
      <c r="A44" s="556"/>
      <c r="B44" s="353" t="s">
        <v>1245</v>
      </c>
      <c r="C44" s="383"/>
      <c r="D44" s="383"/>
      <c r="E44" s="558"/>
      <c r="L44" s="560"/>
      <c r="M44" s="560"/>
      <c r="O44" s="353" t="e">
        <f>O41-O42</f>
        <v>#REF!</v>
      </c>
    </row>
    <row r="45" spans="1:22" ht="33.75" customHeight="1">
      <c r="B45" s="830" t="s">
        <v>1263</v>
      </c>
      <c r="C45" s="830"/>
      <c r="D45" s="830"/>
      <c r="E45" s="830"/>
      <c r="F45" s="830"/>
      <c r="G45" s="830"/>
      <c r="H45" s="830"/>
      <c r="I45" s="830"/>
      <c r="J45" s="183"/>
      <c r="K45" s="183"/>
      <c r="L45" s="560"/>
      <c r="M45" s="560"/>
    </row>
    <row r="46" spans="1:22" ht="6.75" customHeight="1">
      <c r="B46" s="421"/>
      <c r="C46" s="421"/>
      <c r="D46" s="421"/>
      <c r="E46" s="421"/>
      <c r="F46" s="421"/>
      <c r="G46" s="421"/>
      <c r="H46" s="421"/>
      <c r="I46" s="421"/>
      <c r="J46" s="421"/>
      <c r="K46" s="421"/>
      <c r="L46" s="560"/>
      <c r="M46" s="560"/>
    </row>
    <row r="47" spans="1:22" ht="15">
      <c r="A47" s="808" t="s">
        <v>1175</v>
      </c>
      <c r="B47" s="808"/>
      <c r="C47" s="808"/>
      <c r="D47" s="419"/>
      <c r="E47" s="419"/>
      <c r="F47" s="419"/>
      <c r="G47" s="419"/>
      <c r="H47" s="419"/>
      <c r="I47" s="558"/>
      <c r="J47" s="421"/>
      <c r="K47" s="421"/>
      <c r="L47" s="560"/>
      <c r="M47" s="560"/>
      <c r="O47" s="353">
        <f>G37+G69</f>
        <v>2275953446.2999997</v>
      </c>
    </row>
    <row r="48" spans="1:22" ht="6" customHeight="1">
      <c r="A48" s="72"/>
      <c r="B48" s="72"/>
      <c r="C48" s="72"/>
      <c r="D48" s="419"/>
      <c r="E48" s="419"/>
      <c r="F48" s="419"/>
      <c r="G48" s="419"/>
      <c r="H48" s="419"/>
      <c r="I48" s="558"/>
      <c r="J48" s="421"/>
      <c r="K48" s="421"/>
      <c r="L48" s="560"/>
      <c r="M48" s="560"/>
      <c r="O48" s="353">
        <f>2277985544.61</f>
        <v>2277985544.6100001</v>
      </c>
    </row>
    <row r="49" spans="1:15" ht="16.5" customHeight="1">
      <c r="B49" s="517" t="s">
        <v>1176</v>
      </c>
      <c r="C49" s="72"/>
      <c r="D49" s="419"/>
      <c r="E49" s="419"/>
      <c r="F49" s="419"/>
      <c r="G49" s="419"/>
      <c r="H49" s="419"/>
      <c r="I49" s="558"/>
      <c r="J49" s="421"/>
      <c r="K49" s="421"/>
      <c r="L49" s="560"/>
      <c r="M49" s="560"/>
      <c r="O49" s="353">
        <f>O47-O48</f>
        <v>-2032098.3100004196</v>
      </c>
    </row>
    <row r="50" spans="1:15" ht="4.5" customHeight="1">
      <c r="A50" s="72"/>
      <c r="B50" s="72"/>
      <c r="C50" s="72"/>
      <c r="D50" s="419"/>
      <c r="E50" s="419"/>
      <c r="F50" s="419"/>
      <c r="G50" s="419"/>
      <c r="H50" s="419"/>
      <c r="I50" s="558"/>
      <c r="J50" s="421"/>
      <c r="K50" s="421"/>
      <c r="L50" s="560"/>
      <c r="M50" s="560"/>
    </row>
    <row r="51" spans="1:15" ht="16.5" customHeight="1">
      <c r="B51" s="364" t="s">
        <v>1101</v>
      </c>
      <c r="C51" s="72"/>
      <c r="D51" s="419"/>
      <c r="E51" s="555"/>
      <c r="F51" s="555">
        <v>56697134</v>
      </c>
      <c r="G51" s="575">
        <f>531269995-0.29</f>
        <v>531269994.70999998</v>
      </c>
      <c r="H51" s="419"/>
      <c r="I51" s="575">
        <v>403200557.36999983</v>
      </c>
      <c r="J51" s="421"/>
      <c r="K51" s="421"/>
      <c r="L51" s="560"/>
      <c r="M51" s="560"/>
    </row>
    <row r="52" spans="1:15" ht="16.5" customHeight="1">
      <c r="B52" s="364" t="s">
        <v>1102</v>
      </c>
      <c r="C52" s="72"/>
      <c r="D52" s="419"/>
      <c r="E52" s="555"/>
      <c r="F52" s="555">
        <v>75113845.409999922</v>
      </c>
      <c r="G52" s="613">
        <v>380486985</v>
      </c>
      <c r="H52" s="419"/>
      <c r="I52" s="613">
        <v>189981770.21999991</v>
      </c>
      <c r="J52" s="421"/>
      <c r="K52" s="421"/>
      <c r="L52" s="560"/>
      <c r="M52" s="560"/>
      <c r="O52" s="353">
        <f>G37-G55</f>
        <v>-0.1100006103515625</v>
      </c>
    </row>
    <row r="53" spans="1:15" ht="16.5" customHeight="1">
      <c r="B53" s="364" t="s">
        <v>1103</v>
      </c>
      <c r="C53" s="72"/>
      <c r="D53" s="419"/>
      <c r="E53" s="555"/>
      <c r="F53" s="555">
        <v>251723931.77999964</v>
      </c>
      <c r="G53" s="613">
        <v>312447877</v>
      </c>
      <c r="H53" s="419"/>
      <c r="I53" s="613">
        <v>194886172.82999986</v>
      </c>
      <c r="J53" s="421"/>
      <c r="K53" s="421"/>
      <c r="L53" s="560"/>
      <c r="M53" s="560"/>
    </row>
    <row r="54" spans="1:15" ht="16.5" customHeight="1">
      <c r="B54" s="364" t="s">
        <v>1104</v>
      </c>
      <c r="C54" s="72"/>
      <c r="D54" s="419"/>
      <c r="E54" s="555"/>
      <c r="F54" s="555">
        <v>822112952.29000008</v>
      </c>
      <c r="G54" s="576">
        <f>1009176966-0.2</f>
        <v>1009176965.8</v>
      </c>
      <c r="H54" s="419"/>
      <c r="I54" s="576">
        <f>989779492.289999</f>
        <v>989779492.28999901</v>
      </c>
      <c r="J54" s="421"/>
      <c r="K54" s="421"/>
      <c r="L54" s="560"/>
      <c r="M54" s="560"/>
      <c r="O54" s="353" t="e">
        <f>G37-#REF!</f>
        <v>#REF!</v>
      </c>
    </row>
    <row r="55" spans="1:15" ht="16.5" customHeight="1" thickBot="1">
      <c r="A55" s="72"/>
      <c r="B55" s="72"/>
      <c r="C55" s="72"/>
      <c r="D55" s="419"/>
      <c r="E55" s="505"/>
      <c r="G55" s="518">
        <f>SUM(G51:G54)-0.29</f>
        <v>2233381822.2200003</v>
      </c>
      <c r="H55" s="419"/>
      <c r="I55" s="415">
        <f>SUM(I51:I54)-0.5</f>
        <v>1777847992.2099986</v>
      </c>
      <c r="J55" s="421"/>
      <c r="K55" s="421"/>
      <c r="L55" s="560"/>
      <c r="M55" s="560"/>
    </row>
    <row r="56" spans="1:15" ht="7.5" customHeight="1" thickTop="1">
      <c r="B56" s="421"/>
      <c r="C56" s="421"/>
      <c r="D56" s="421"/>
      <c r="E56" s="421"/>
      <c r="F56" s="421"/>
      <c r="G56" s="421"/>
      <c r="H56" s="421"/>
      <c r="I56" s="421"/>
      <c r="J56" s="421"/>
      <c r="K56" s="421"/>
      <c r="L56" s="560"/>
      <c r="M56" s="560"/>
    </row>
    <row r="57" spans="1:15" ht="16.5" customHeight="1">
      <c r="B57" s="808" t="s">
        <v>1262</v>
      </c>
      <c r="C57" s="808"/>
      <c r="D57" s="808"/>
      <c r="E57" s="808"/>
      <c r="F57" s="808"/>
      <c r="G57" s="808"/>
      <c r="H57" s="808"/>
      <c r="I57" s="808"/>
      <c r="J57" s="421"/>
      <c r="K57" s="421"/>
      <c r="L57" s="560"/>
      <c r="M57" s="560"/>
    </row>
    <row r="58" spans="1:15" ht="16.5" customHeight="1">
      <c r="B58" s="808"/>
      <c r="C58" s="808"/>
      <c r="D58" s="808"/>
      <c r="E58" s="808"/>
      <c r="F58" s="808"/>
      <c r="G58" s="808"/>
      <c r="H58" s="808"/>
      <c r="I58" s="808"/>
      <c r="J58" s="421"/>
      <c r="K58" s="421"/>
      <c r="L58" s="560"/>
      <c r="M58" s="560"/>
      <c r="O58" s="353">
        <f>G37-G55</f>
        <v>-0.1100006103515625</v>
      </c>
    </row>
    <row r="59" spans="1:15" ht="16.5" customHeight="1">
      <c r="B59" s="808"/>
      <c r="C59" s="808"/>
      <c r="D59" s="808"/>
      <c r="E59" s="808"/>
      <c r="F59" s="808"/>
      <c r="G59" s="808"/>
      <c r="H59" s="808"/>
      <c r="I59" s="808"/>
      <c r="J59" s="421"/>
      <c r="K59" s="421"/>
      <c r="L59" s="560"/>
      <c r="M59" s="560"/>
    </row>
    <row r="60" spans="1:15" ht="16.5" customHeight="1">
      <c r="B60" s="808"/>
      <c r="C60" s="808"/>
      <c r="D60" s="808"/>
      <c r="E60" s="808"/>
      <c r="F60" s="808"/>
      <c r="G60" s="808"/>
      <c r="H60" s="808"/>
      <c r="I60" s="808"/>
      <c r="J60" s="421"/>
      <c r="K60" s="421"/>
      <c r="L60" s="560"/>
      <c r="M60" s="560"/>
    </row>
    <row r="61" spans="1:15" ht="11.25" customHeight="1">
      <c r="B61" s="808"/>
      <c r="C61" s="808"/>
      <c r="D61" s="808"/>
      <c r="E61" s="808"/>
      <c r="F61" s="808"/>
      <c r="G61" s="808"/>
      <c r="H61" s="808"/>
      <c r="I61" s="808"/>
      <c r="J61" s="421"/>
      <c r="K61" s="421"/>
      <c r="L61" s="560"/>
      <c r="M61" s="560"/>
    </row>
    <row r="62" spans="1:15" ht="16.5" hidden="1" customHeight="1">
      <c r="B62" s="808"/>
      <c r="C62" s="808"/>
      <c r="D62" s="808"/>
      <c r="E62" s="808"/>
      <c r="F62" s="808"/>
      <c r="G62" s="808"/>
      <c r="H62" s="808"/>
      <c r="I62" s="808"/>
      <c r="J62" s="421"/>
      <c r="K62" s="421"/>
      <c r="L62" s="560"/>
      <c r="M62" s="560"/>
    </row>
    <row r="63" spans="1:15" ht="6" customHeight="1">
      <c r="B63" s="421"/>
      <c r="C63" s="421"/>
      <c r="D63" s="421"/>
      <c r="E63" s="421"/>
      <c r="F63" s="421"/>
      <c r="G63" s="421"/>
      <c r="H63" s="421"/>
      <c r="I63" s="421"/>
      <c r="J63" s="421"/>
      <c r="K63" s="421"/>
      <c r="L63" s="560"/>
      <c r="M63" s="560"/>
    </row>
    <row r="64" spans="1:15" ht="16.5" customHeight="1">
      <c r="A64" s="556">
        <v>5.2</v>
      </c>
      <c r="B64" s="353" t="s">
        <v>582</v>
      </c>
      <c r="E64" s="521"/>
      <c r="F64" s="521"/>
      <c r="G64" s="521"/>
      <c r="H64" s="521"/>
      <c r="I64" s="521"/>
      <c r="J64" s="521"/>
    </row>
    <row r="65" spans="1:15" ht="0.75" customHeight="1">
      <c r="A65" s="556"/>
      <c r="E65" s="521"/>
      <c r="F65" s="521"/>
      <c r="G65" s="521"/>
      <c r="H65" s="521"/>
      <c r="I65" s="521"/>
      <c r="J65" s="521"/>
    </row>
    <row r="66" spans="1:15" ht="16.5" customHeight="1">
      <c r="A66" s="556"/>
      <c r="B66" s="353" t="s">
        <v>773</v>
      </c>
      <c r="E66" s="551"/>
      <c r="F66" s="521"/>
      <c r="G66" s="553">
        <v>3150</v>
      </c>
      <c r="H66" s="521"/>
      <c r="I66" s="553">
        <f>3150</f>
        <v>3150</v>
      </c>
      <c r="J66" s="521"/>
    </row>
    <row r="67" spans="1:15" ht="16.5" customHeight="1">
      <c r="A67" s="556"/>
      <c r="B67" s="353" t="s">
        <v>772</v>
      </c>
      <c r="E67" s="551"/>
      <c r="F67" s="521"/>
      <c r="G67" s="566">
        <v>3790</v>
      </c>
      <c r="H67" s="521"/>
      <c r="I67" s="566">
        <f>5140-900</f>
        <v>4240</v>
      </c>
      <c r="J67" s="521"/>
    </row>
    <row r="68" spans="1:15" ht="16.5" customHeight="1">
      <c r="A68" s="556"/>
      <c r="B68" s="353" t="s">
        <v>1029</v>
      </c>
      <c r="E68" s="551"/>
      <c r="F68" s="521"/>
      <c r="G68" s="566">
        <f>41770753-25448122.33+26242053.52</f>
        <v>42564684.189999998</v>
      </c>
      <c r="H68" s="521"/>
      <c r="I68" s="566">
        <f>42009478-176445-4240-3150-237611.7+4627.64-11855.89</f>
        <v>41580803.049999997</v>
      </c>
      <c r="J68" s="521"/>
      <c r="N68" s="353">
        <f>G69-42061869</f>
        <v>509755.18999999762</v>
      </c>
      <c r="O68" s="449">
        <v>41773804.25</v>
      </c>
    </row>
    <row r="69" spans="1:15" ht="16.5" customHeight="1" thickBot="1">
      <c r="E69" s="558"/>
      <c r="F69" s="521"/>
      <c r="G69" s="559">
        <f>SUM(G66:G68)</f>
        <v>42571624.189999998</v>
      </c>
      <c r="H69" s="521"/>
      <c r="I69" s="559">
        <f>SUM(I66:J68)</f>
        <v>41588193.049999997</v>
      </c>
      <c r="J69" s="521"/>
      <c r="N69" s="353">
        <f>G69-I69</f>
        <v>983431.1400000006</v>
      </c>
    </row>
    <row r="70" spans="1:15" ht="6.75" customHeight="1" thickTop="1">
      <c r="E70" s="521"/>
      <c r="F70" s="521"/>
      <c r="G70" s="521"/>
      <c r="H70" s="521"/>
      <c r="I70" s="521"/>
      <c r="J70" s="521"/>
    </row>
    <row r="71" spans="1:15" ht="16.5" customHeight="1">
      <c r="A71" s="513">
        <v>6</v>
      </c>
      <c r="B71" s="383" t="s">
        <v>625</v>
      </c>
      <c r="C71" s="383"/>
      <c r="D71" s="383"/>
      <c r="E71" s="449"/>
      <c r="F71" s="449"/>
      <c r="G71" s="449"/>
      <c r="H71" s="449"/>
      <c r="I71" s="449"/>
      <c r="J71" s="449"/>
      <c r="O71" s="436">
        <v>41777693.25</v>
      </c>
    </row>
    <row r="72" spans="1:15" ht="3.75" customHeight="1">
      <c r="A72" s="513"/>
      <c r="B72" s="383"/>
      <c r="C72" s="383"/>
      <c r="D72" s="383"/>
      <c r="E72" s="449"/>
      <c r="F72" s="449"/>
      <c r="G72" s="449"/>
      <c r="H72" s="449"/>
      <c r="I72" s="449"/>
      <c r="J72" s="449"/>
    </row>
    <row r="73" spans="1:15" ht="16.5" customHeight="1">
      <c r="B73" s="383" t="s">
        <v>314</v>
      </c>
      <c r="C73" s="383"/>
      <c r="D73" s="383"/>
      <c r="E73" s="449"/>
      <c r="F73" s="449"/>
      <c r="G73" s="449"/>
      <c r="H73" s="449"/>
      <c r="I73" s="449"/>
      <c r="J73" s="449"/>
      <c r="O73" s="353">
        <f>G66+G67</f>
        <v>6940</v>
      </c>
    </row>
    <row r="74" spans="1:15" ht="16.5" customHeight="1">
      <c r="B74" s="383" t="s">
        <v>695</v>
      </c>
      <c r="C74" s="383"/>
      <c r="D74" s="383"/>
      <c r="F74" s="449"/>
      <c r="G74" s="449"/>
      <c r="H74" s="449"/>
      <c r="I74" s="449"/>
      <c r="J74" s="449"/>
      <c r="O74" s="353">
        <f>O71-O73</f>
        <v>41770753.25</v>
      </c>
    </row>
    <row r="75" spans="1:15" ht="16.5" customHeight="1">
      <c r="B75" s="362" t="s">
        <v>784</v>
      </c>
      <c r="C75" s="383"/>
      <c r="D75" s="383"/>
      <c r="E75" s="499" t="s">
        <v>941</v>
      </c>
      <c r="F75" s="449"/>
      <c r="G75" s="526">
        <f>G104</f>
        <v>18872000</v>
      </c>
      <c r="H75" s="449"/>
      <c r="I75" s="526">
        <f>I104</f>
        <v>23750000</v>
      </c>
      <c r="J75" s="449"/>
      <c r="L75" s="373"/>
      <c r="M75" s="373"/>
    </row>
    <row r="76" spans="1:15" ht="16.5" customHeight="1">
      <c r="B76" s="362" t="s">
        <v>692</v>
      </c>
      <c r="C76" s="383"/>
      <c r="D76" s="383"/>
      <c r="E76" s="449"/>
      <c r="F76" s="449"/>
      <c r="G76" s="527">
        <f>160135+4000+185592</f>
        <v>349727</v>
      </c>
      <c r="H76" s="449"/>
      <c r="I76" s="527">
        <f>124014+4000+185592</f>
        <v>313606</v>
      </c>
      <c r="J76" s="449"/>
      <c r="L76" s="373"/>
      <c r="M76" s="373"/>
    </row>
    <row r="77" spans="1:15" ht="16.5" customHeight="1">
      <c r="B77" s="362" t="s">
        <v>1078</v>
      </c>
      <c r="C77" s="383"/>
      <c r="D77" s="383"/>
      <c r="E77" s="449"/>
      <c r="F77" s="449"/>
      <c r="G77" s="527">
        <v>2140520</v>
      </c>
      <c r="H77" s="449"/>
      <c r="I77" s="527"/>
      <c r="J77" s="449"/>
      <c r="L77" s="373"/>
      <c r="M77" s="373"/>
    </row>
    <row r="78" spans="1:15" ht="16.5" customHeight="1">
      <c r="B78" s="362" t="s">
        <v>733</v>
      </c>
      <c r="C78" s="383"/>
      <c r="D78" s="383"/>
      <c r="E78" s="449"/>
      <c r="F78" s="449"/>
      <c r="G78" s="527">
        <f>1014400+214000-120000-1050900</f>
        <v>57500</v>
      </c>
      <c r="H78" s="449"/>
      <c r="I78" s="527">
        <f>1014400+214000-120000-1050900</f>
        <v>57500</v>
      </c>
      <c r="J78" s="449"/>
      <c r="L78" s="373"/>
      <c r="M78" s="373"/>
    </row>
    <row r="79" spans="1:15" ht="16.5" customHeight="1">
      <c r="B79" s="362" t="s">
        <v>693</v>
      </c>
      <c r="C79" s="383"/>
      <c r="D79" s="383"/>
      <c r="E79" s="449"/>
      <c r="F79" s="449"/>
      <c r="G79" s="527">
        <v>12000</v>
      </c>
      <c r="H79" s="449"/>
      <c r="I79" s="527">
        <v>12000</v>
      </c>
      <c r="J79" s="449"/>
      <c r="L79" s="373"/>
      <c r="M79" s="373"/>
    </row>
    <row r="80" spans="1:15" ht="16.5" customHeight="1">
      <c r="B80" s="362" t="s">
        <v>769</v>
      </c>
      <c r="C80" s="383"/>
      <c r="D80" s="383"/>
      <c r="E80" s="449"/>
      <c r="F80" s="449"/>
      <c r="G80" s="527">
        <v>21735</v>
      </c>
      <c r="H80" s="449"/>
      <c r="I80" s="527">
        <v>39004</v>
      </c>
      <c r="J80" s="449"/>
      <c r="L80" s="373"/>
      <c r="M80" s="373"/>
    </row>
    <row r="81" spans="2:13" ht="16.5" customHeight="1">
      <c r="B81" s="362" t="s">
        <v>813</v>
      </c>
      <c r="C81" s="383"/>
      <c r="D81" s="383"/>
      <c r="E81" s="449"/>
      <c r="F81" s="449"/>
      <c r="G81" s="527">
        <v>10000000</v>
      </c>
      <c r="H81" s="449"/>
      <c r="I81" s="527">
        <v>10000000</v>
      </c>
      <c r="J81" s="449"/>
      <c r="L81" s="373"/>
      <c r="M81" s="373"/>
    </row>
    <row r="82" spans="2:13" ht="16.5" customHeight="1">
      <c r="B82" s="362" t="s">
        <v>782</v>
      </c>
      <c r="C82" s="383"/>
      <c r="D82" s="383"/>
      <c r="E82" s="449"/>
      <c r="F82" s="449"/>
      <c r="G82" s="527">
        <v>0</v>
      </c>
      <c r="H82" s="449"/>
      <c r="I82" s="527">
        <v>322715</v>
      </c>
      <c r="J82" s="449"/>
      <c r="K82" s="521"/>
      <c r="L82" s="373"/>
      <c r="M82" s="373"/>
    </row>
    <row r="83" spans="2:13" ht="16.5" customHeight="1">
      <c r="B83" s="362" t="s">
        <v>899</v>
      </c>
      <c r="C83" s="383"/>
      <c r="D83" s="383"/>
      <c r="E83" s="448"/>
      <c r="F83" s="449"/>
      <c r="G83" s="527">
        <v>670500</v>
      </c>
      <c r="H83" s="449"/>
      <c r="I83" s="527">
        <v>605000</v>
      </c>
      <c r="J83" s="449"/>
      <c r="K83" s="521"/>
      <c r="L83" s="373"/>
      <c r="M83" s="373"/>
    </row>
    <row r="84" spans="2:13" ht="16.5" customHeight="1">
      <c r="B84" s="353" t="s">
        <v>326</v>
      </c>
      <c r="G84" s="563">
        <f>38453+71421+170000</f>
        <v>279874</v>
      </c>
      <c r="I84" s="563">
        <f>1360520+38453+170000+71421</f>
        <v>1640394</v>
      </c>
      <c r="K84" s="449"/>
      <c r="L84" s="373"/>
      <c r="M84" s="373"/>
    </row>
    <row r="85" spans="2:13" ht="16.5" customHeight="1">
      <c r="G85" s="524">
        <f>SUM(G75:G84)</f>
        <v>32403856</v>
      </c>
      <c r="I85" s="524">
        <f>SUM(I75:I84)</f>
        <v>36740219</v>
      </c>
      <c r="K85" s="449"/>
    </row>
    <row r="86" spans="2:13" ht="10.5" customHeight="1">
      <c r="K86" s="449"/>
    </row>
    <row r="87" spans="2:13" ht="13.5" customHeight="1">
      <c r="B87" s="383" t="s">
        <v>315</v>
      </c>
      <c r="K87" s="449"/>
      <c r="L87" s="373"/>
      <c r="M87" s="373"/>
    </row>
    <row r="88" spans="2:13" ht="16.5" customHeight="1">
      <c r="B88" s="383" t="s">
        <v>734</v>
      </c>
      <c r="D88" s="383"/>
      <c r="E88" s="383"/>
      <c r="F88" s="449"/>
      <c r="G88" s="567">
        <v>5000</v>
      </c>
      <c r="H88" s="449"/>
      <c r="I88" s="567">
        <v>5000</v>
      </c>
      <c r="J88" s="449"/>
      <c r="K88" s="448"/>
    </row>
    <row r="89" spans="2:13" ht="16.5" customHeight="1">
      <c r="B89" s="383" t="s">
        <v>316</v>
      </c>
      <c r="D89" s="383"/>
      <c r="E89" s="383"/>
      <c r="F89" s="568"/>
      <c r="G89" s="519">
        <f>19000+1000+3000</f>
        <v>23000</v>
      </c>
      <c r="H89" s="568"/>
      <c r="I89" s="519">
        <f>19000+1000+3000</f>
        <v>23000</v>
      </c>
      <c r="J89" s="568"/>
    </row>
    <row r="90" spans="2:13" ht="16.5" customHeight="1">
      <c r="B90" s="383" t="s">
        <v>317</v>
      </c>
      <c r="D90" s="383"/>
      <c r="E90" s="383"/>
      <c r="F90" s="568"/>
      <c r="G90" s="519">
        <v>500000</v>
      </c>
      <c r="H90" s="568"/>
      <c r="I90" s="519">
        <v>500000</v>
      </c>
      <c r="J90" s="568"/>
    </row>
    <row r="91" spans="2:13" ht="16.5" customHeight="1">
      <c r="B91" s="832" t="s">
        <v>635</v>
      </c>
      <c r="C91" s="832"/>
      <c r="D91" s="832"/>
      <c r="E91" s="832"/>
      <c r="F91" s="568"/>
      <c r="G91" s="519">
        <v>600000</v>
      </c>
      <c r="H91" s="568"/>
      <c r="I91" s="519">
        <v>600000</v>
      </c>
      <c r="J91" s="568"/>
    </row>
    <row r="92" spans="2:13" ht="16.5" customHeight="1">
      <c r="B92" s="832" t="s">
        <v>909</v>
      </c>
      <c r="C92" s="832"/>
      <c r="D92" s="832"/>
      <c r="E92" s="832"/>
      <c r="F92" s="568"/>
      <c r="G92" s="519">
        <v>100000</v>
      </c>
      <c r="H92" s="568"/>
      <c r="I92" s="519">
        <v>100000</v>
      </c>
      <c r="J92" s="568"/>
    </row>
    <row r="93" spans="2:13" ht="16.5" customHeight="1">
      <c r="B93" s="362" t="s">
        <v>694</v>
      </c>
      <c r="C93" s="383"/>
      <c r="D93" s="383"/>
      <c r="E93" s="448"/>
      <c r="F93" s="449"/>
      <c r="G93" s="527">
        <v>50000</v>
      </c>
      <c r="H93" s="449"/>
      <c r="I93" s="527">
        <v>50000</v>
      </c>
      <c r="J93" s="449"/>
    </row>
    <row r="94" spans="2:13" ht="16.5" customHeight="1">
      <c r="B94" s="353" t="s">
        <v>833</v>
      </c>
      <c r="G94" s="527">
        <v>250000</v>
      </c>
      <c r="I94" s="527">
        <v>250000</v>
      </c>
    </row>
    <row r="95" spans="2:13" ht="16.5" customHeight="1">
      <c r="B95" s="383" t="s">
        <v>667</v>
      </c>
      <c r="D95" s="395"/>
      <c r="E95" s="395"/>
      <c r="F95" s="520"/>
      <c r="G95" s="569">
        <f>111598+2760000</f>
        <v>2871598</v>
      </c>
      <c r="H95" s="520"/>
      <c r="I95" s="569">
        <f>111598+2760000</f>
        <v>2871598</v>
      </c>
      <c r="J95" s="371"/>
      <c r="K95" s="373"/>
    </row>
    <row r="96" spans="2:13" ht="16.5" customHeight="1">
      <c r="D96" s="383"/>
      <c r="E96" s="383"/>
      <c r="F96" s="568"/>
      <c r="G96" s="570">
        <f>SUM(G88:G95)</f>
        <v>4399598</v>
      </c>
      <c r="H96" s="568"/>
      <c r="I96" s="570">
        <f>SUM(I88:I95)</f>
        <v>4399598</v>
      </c>
      <c r="J96" s="568"/>
    </row>
    <row r="97" spans="1:14" ht="16.5" customHeight="1" thickBot="1">
      <c r="C97" s="383"/>
      <c r="D97" s="383"/>
      <c r="E97" s="383"/>
      <c r="F97" s="568"/>
      <c r="G97" s="571">
        <f>G96+G85</f>
        <v>36803454</v>
      </c>
      <c r="H97" s="568"/>
      <c r="I97" s="571">
        <f>I96+I85</f>
        <v>41139817</v>
      </c>
      <c r="J97" s="568"/>
      <c r="N97" s="353">
        <f>G97-I97</f>
        <v>-4336363</v>
      </c>
    </row>
    <row r="98" spans="1:14" ht="15.75" thickTop="1">
      <c r="C98" s="383"/>
      <c r="D98" s="383"/>
      <c r="E98" s="383"/>
      <c r="F98" s="568"/>
      <c r="G98" s="568"/>
      <c r="H98" s="568"/>
      <c r="I98" s="572"/>
      <c r="J98" s="568"/>
    </row>
    <row r="99" spans="1:14" ht="15">
      <c r="C99" s="383"/>
      <c r="D99" s="383"/>
      <c r="E99" s="383"/>
      <c r="F99" s="568"/>
      <c r="G99" s="568"/>
      <c r="H99" s="568"/>
      <c r="I99" s="572"/>
      <c r="J99" s="568"/>
    </row>
    <row r="100" spans="1:14" ht="16.5" customHeight="1">
      <c r="A100" s="513" t="s">
        <v>1142</v>
      </c>
      <c r="B100" s="383" t="s">
        <v>847</v>
      </c>
      <c r="D100" s="383"/>
      <c r="E100" s="383"/>
      <c r="F100" s="568"/>
      <c r="G100" s="568"/>
      <c r="H100" s="568"/>
      <c r="I100" s="568"/>
      <c r="J100" s="568"/>
    </row>
    <row r="101" spans="1:14" ht="16.5" customHeight="1">
      <c r="B101" s="383" t="s">
        <v>159</v>
      </c>
      <c r="D101" s="383"/>
      <c r="E101" s="383"/>
      <c r="F101" s="568"/>
      <c r="G101" s="567">
        <f>I104</f>
        <v>23750000</v>
      </c>
      <c r="H101" s="568"/>
      <c r="I101" s="567">
        <v>2796364</v>
      </c>
      <c r="J101" s="568"/>
    </row>
    <row r="102" spans="1:14" ht="16.5" customHeight="1">
      <c r="B102" s="383" t="s">
        <v>1111</v>
      </c>
      <c r="D102" s="383"/>
      <c r="E102" s="383"/>
      <c r="F102" s="568"/>
      <c r="G102" s="519">
        <v>1122000</v>
      </c>
      <c r="H102" s="568"/>
      <c r="I102" s="519">
        <v>30000000</v>
      </c>
      <c r="J102" s="568"/>
    </row>
    <row r="103" spans="1:14" ht="16.5" customHeight="1">
      <c r="B103" s="383" t="s">
        <v>1108</v>
      </c>
      <c r="D103" s="383"/>
      <c r="E103" s="383"/>
      <c r="F103" s="568"/>
      <c r="G103" s="569">
        <v>6000000</v>
      </c>
      <c r="H103" s="568"/>
      <c r="I103" s="569">
        <v>9046364</v>
      </c>
      <c r="J103" s="568"/>
    </row>
    <row r="104" spans="1:14" ht="16.5" customHeight="1" thickBot="1">
      <c r="D104" s="383"/>
      <c r="E104" s="383"/>
      <c r="F104" s="568"/>
      <c r="G104" s="571">
        <f>G101+G102-G103</f>
        <v>18872000</v>
      </c>
      <c r="H104" s="568"/>
      <c r="I104" s="571">
        <f>I101+I102-I103</f>
        <v>23750000</v>
      </c>
      <c r="J104" s="568"/>
      <c r="K104" s="373"/>
    </row>
    <row r="105" spans="1:14" ht="15.75" thickTop="1">
      <c r="D105" s="383"/>
      <c r="E105" s="383"/>
      <c r="F105" s="568"/>
      <c r="G105" s="568"/>
      <c r="H105" s="568"/>
      <c r="I105" s="572"/>
      <c r="J105" s="568"/>
      <c r="K105" s="373"/>
    </row>
    <row r="106" spans="1:14" ht="15">
      <c r="D106" s="383"/>
      <c r="E106" s="383"/>
      <c r="F106" s="568"/>
      <c r="G106" s="568"/>
      <c r="H106" s="568"/>
      <c r="I106" s="572"/>
      <c r="J106" s="568"/>
      <c r="K106" s="373"/>
    </row>
    <row r="107" spans="1:14" ht="15">
      <c r="A107" s="625">
        <v>6.2</v>
      </c>
      <c r="B107" s="364" t="s">
        <v>1177</v>
      </c>
      <c r="C107" s="383"/>
      <c r="D107" s="383"/>
      <c r="E107" s="568"/>
      <c r="F107" s="568"/>
      <c r="G107" s="572"/>
      <c r="I107" s="572"/>
      <c r="J107" s="568"/>
      <c r="K107" s="373"/>
    </row>
    <row r="108" spans="1:14" ht="10.5" customHeight="1">
      <c r="B108" s="383"/>
      <c r="C108" s="383"/>
      <c r="D108" s="383"/>
      <c r="E108" s="568"/>
      <c r="F108" s="568"/>
      <c r="G108" s="572"/>
      <c r="I108" s="572"/>
      <c r="J108" s="568"/>
      <c r="K108" s="373"/>
    </row>
    <row r="109" spans="1:14" ht="15">
      <c r="B109" s="809" t="s">
        <v>1178</v>
      </c>
      <c r="C109" s="809"/>
      <c r="D109" s="809"/>
      <c r="E109" s="809"/>
      <c r="F109" s="809"/>
      <c r="G109" s="809"/>
      <c r="H109" s="809"/>
      <c r="I109" s="809"/>
      <c r="J109" s="568"/>
      <c r="K109" s="373"/>
    </row>
    <row r="110" spans="1:14" ht="7.5" customHeight="1">
      <c r="B110" s="364"/>
      <c r="C110" s="383"/>
      <c r="D110" s="383"/>
      <c r="E110" s="568"/>
      <c r="F110" s="568"/>
      <c r="G110" s="572"/>
      <c r="I110" s="572"/>
      <c r="J110" s="568"/>
      <c r="K110" s="373"/>
    </row>
    <row r="111" spans="1:14" ht="15">
      <c r="B111" s="364" t="s">
        <v>1179</v>
      </c>
      <c r="C111" s="383"/>
      <c r="D111" s="383"/>
      <c r="E111" s="568"/>
      <c r="F111" s="568"/>
      <c r="G111" s="575">
        <f>2655082-0.25</f>
        <v>2655081.75</v>
      </c>
      <c r="I111" s="575">
        <v>1604500</v>
      </c>
      <c r="J111" s="568"/>
      <c r="K111" s="373"/>
    </row>
    <row r="112" spans="1:14" ht="15">
      <c r="B112" s="364" t="s">
        <v>1180</v>
      </c>
      <c r="C112" s="383"/>
      <c r="D112" s="383"/>
      <c r="E112" s="568"/>
      <c r="F112" s="568"/>
      <c r="G112" s="613">
        <f>760520-0.25</f>
        <v>760519.75</v>
      </c>
      <c r="I112" s="613">
        <v>436520</v>
      </c>
      <c r="J112" s="568"/>
      <c r="K112" s="373"/>
    </row>
    <row r="113" spans="1:22" ht="15">
      <c r="B113" s="364" t="s">
        <v>1181</v>
      </c>
      <c r="C113" s="383"/>
      <c r="D113" s="383"/>
      <c r="E113" s="568"/>
      <c r="F113" s="568"/>
      <c r="G113" s="613">
        <f>65500-0.25</f>
        <v>65499.75</v>
      </c>
      <c r="I113" s="613">
        <v>23957910</v>
      </c>
      <c r="J113" s="568"/>
      <c r="K113" s="373"/>
    </row>
    <row r="114" spans="1:22" ht="15">
      <c r="B114" s="364" t="s">
        <v>1182</v>
      </c>
      <c r="C114" s="383"/>
      <c r="D114" s="383"/>
      <c r="E114" s="568"/>
      <c r="F114" s="568"/>
      <c r="G114" s="576">
        <v>33322353</v>
      </c>
      <c r="I114" s="576">
        <v>15140887</v>
      </c>
      <c r="J114" s="568"/>
      <c r="K114" s="373"/>
    </row>
    <row r="115" spans="1:22" ht="15.75" thickBot="1">
      <c r="B115" s="383"/>
      <c r="C115" s="383"/>
      <c r="D115" s="383"/>
      <c r="E115" s="568"/>
      <c r="F115" s="568"/>
      <c r="G115" s="626">
        <f>SUM(G111:G114)</f>
        <v>36803454.25</v>
      </c>
      <c r="I115" s="571">
        <f>SUM(I111:I114)</f>
        <v>41139817</v>
      </c>
      <c r="J115" s="568"/>
      <c r="K115" s="373"/>
    </row>
    <row r="116" spans="1:22" ht="10.5" customHeight="1" thickTop="1">
      <c r="D116" s="383"/>
      <c r="E116" s="383"/>
      <c r="F116" s="568"/>
      <c r="G116" s="568"/>
      <c r="H116" s="568"/>
      <c r="I116" s="572"/>
      <c r="J116" s="568"/>
      <c r="K116" s="373"/>
    </row>
    <row r="117" spans="1:22" ht="15">
      <c r="D117" s="383"/>
      <c r="E117" s="383"/>
      <c r="F117" s="568"/>
      <c r="G117" s="568"/>
      <c r="H117" s="568"/>
      <c r="I117" s="572"/>
      <c r="J117" s="568"/>
      <c r="K117" s="373"/>
    </row>
    <row r="118" spans="1:22" ht="15">
      <c r="A118" s="513" t="s">
        <v>1143</v>
      </c>
      <c r="B118" s="383" t="s">
        <v>690</v>
      </c>
      <c r="C118" s="383"/>
      <c r="D118" s="383"/>
      <c r="E118" s="449"/>
      <c r="F118" s="449"/>
      <c r="G118" s="449"/>
      <c r="H118" s="449"/>
      <c r="I118" s="449"/>
      <c r="J118" s="449"/>
      <c r="K118" s="449"/>
    </row>
    <row r="119" spans="1:22" ht="15">
      <c r="B119" s="511" t="s">
        <v>159</v>
      </c>
      <c r="E119" s="521"/>
      <c r="F119" s="521"/>
      <c r="G119" s="553">
        <f>I123</f>
        <v>298066626.88</v>
      </c>
      <c r="H119" s="521"/>
      <c r="I119" s="553">
        <v>246918612.17000002</v>
      </c>
      <c r="J119" s="521"/>
      <c r="K119" s="568"/>
    </row>
    <row r="120" spans="1:22" ht="15">
      <c r="B120" s="502" t="s">
        <v>1112</v>
      </c>
      <c r="C120" s="511"/>
      <c r="E120" s="521"/>
      <c r="F120" s="521"/>
      <c r="G120" s="557">
        <f>9489484+22197022.1+82831513.08+487587</f>
        <v>115005606.18000001</v>
      </c>
      <c r="H120" s="521"/>
      <c r="I120" s="557">
        <f>10759970.97+5406902.35+36193672.63+26701.17-9687.5</f>
        <v>52377559.620000005</v>
      </c>
      <c r="J120" s="521"/>
      <c r="K120" s="568"/>
      <c r="S120" s="353" t="s">
        <v>1211</v>
      </c>
    </row>
    <row r="121" spans="1:22" ht="16.5" customHeight="1">
      <c r="E121" s="521"/>
      <c r="F121" s="521"/>
      <c r="G121" s="551">
        <f>SUM(G119:G120)</f>
        <v>413072233.06</v>
      </c>
      <c r="H121" s="521"/>
      <c r="I121" s="551">
        <f>SUM(I119:I120)</f>
        <v>299296171.79000002</v>
      </c>
      <c r="J121" s="521"/>
      <c r="K121" s="568"/>
      <c r="S121" s="353" t="s">
        <v>1212</v>
      </c>
      <c r="V121" s="353">
        <v>487587</v>
      </c>
    </row>
    <row r="122" spans="1:22" ht="16.5" customHeight="1">
      <c r="B122" s="353" t="s">
        <v>848</v>
      </c>
      <c r="C122" s="502"/>
      <c r="E122" s="521"/>
      <c r="F122" s="521"/>
      <c r="G122" s="449">
        <f>236682.09</f>
        <v>236682.09</v>
      </c>
      <c r="H122" s="521"/>
      <c r="I122" s="449">
        <f>39891+46488.91+1143165</f>
        <v>1229544.9099999999</v>
      </c>
      <c r="J122" s="521"/>
      <c r="K122" s="568"/>
    </row>
    <row r="123" spans="1:22" ht="16.5" customHeight="1" thickBot="1">
      <c r="B123" s="502"/>
      <c r="C123" s="502"/>
      <c r="E123" s="521"/>
      <c r="F123" s="521"/>
      <c r="G123" s="559">
        <f>G121-G122</f>
        <v>412835550.97000003</v>
      </c>
      <c r="H123" s="521"/>
      <c r="I123" s="559">
        <f>I121-I122</f>
        <v>298066626.88</v>
      </c>
      <c r="J123" s="521"/>
      <c r="K123" s="568"/>
      <c r="N123" s="353">
        <f>G123-I123</f>
        <v>114768924.09000003</v>
      </c>
    </row>
    <row r="124" spans="1:22" ht="16.5" customHeight="1" thickTop="1">
      <c r="B124" s="502"/>
      <c r="C124" s="502"/>
      <c r="E124" s="521"/>
      <c r="F124" s="521"/>
      <c r="G124" s="521"/>
      <c r="H124" s="521"/>
      <c r="I124" s="558"/>
      <c r="J124" s="521"/>
      <c r="K124" s="568"/>
    </row>
    <row r="125" spans="1:22" ht="16.5" customHeight="1">
      <c r="A125" s="513" t="s">
        <v>679</v>
      </c>
      <c r="B125" s="383" t="s">
        <v>691</v>
      </c>
      <c r="C125" s="383"/>
      <c r="E125" s="521"/>
      <c r="F125" s="521"/>
      <c r="G125" s="521"/>
      <c r="H125" s="521"/>
      <c r="I125" s="521"/>
      <c r="J125" s="521"/>
      <c r="K125" s="521"/>
    </row>
    <row r="126" spans="1:22" ht="9.75" customHeight="1">
      <c r="A126" s="513"/>
      <c r="B126" s="383"/>
      <c r="C126" s="383"/>
      <c r="E126" s="521"/>
      <c r="F126" s="521"/>
      <c r="G126" s="521"/>
      <c r="H126" s="521"/>
      <c r="I126" s="521"/>
      <c r="J126" s="521"/>
      <c r="K126" s="521"/>
    </row>
    <row r="127" spans="1:22" ht="16.5" customHeight="1">
      <c r="B127" s="353" t="s">
        <v>821</v>
      </c>
      <c r="C127" s="410" t="s">
        <v>547</v>
      </c>
      <c r="D127" s="349" t="s">
        <v>544</v>
      </c>
      <c r="E127" s="617" t="s">
        <v>545</v>
      </c>
      <c r="F127" s="617"/>
      <c r="G127" s="617" t="s">
        <v>546</v>
      </c>
      <c r="H127" s="617"/>
      <c r="I127" s="617" t="s">
        <v>546</v>
      </c>
      <c r="J127" s="349"/>
      <c r="K127" s="521"/>
      <c r="L127" s="395"/>
      <c r="M127" s="395"/>
    </row>
    <row r="128" spans="1:22" ht="15">
      <c r="B128" s="499">
        <v>1</v>
      </c>
      <c r="C128" s="353" t="s">
        <v>548</v>
      </c>
      <c r="D128" s="499">
        <v>137581</v>
      </c>
      <c r="E128" s="521">
        <v>3209275.17</v>
      </c>
      <c r="F128" s="521"/>
      <c r="G128" s="551">
        <v>1375810</v>
      </c>
      <c r="H128" s="521"/>
      <c r="I128" s="551">
        <v>1706004</v>
      </c>
      <c r="J128" s="521"/>
      <c r="K128" s="521"/>
    </row>
    <row r="129" spans="1:13" ht="15">
      <c r="B129" s="499">
        <v>2</v>
      </c>
      <c r="C129" s="353" t="s">
        <v>549</v>
      </c>
      <c r="D129" s="499">
        <v>3731</v>
      </c>
      <c r="E129" s="521">
        <v>764724.62</v>
      </c>
      <c r="F129" s="521"/>
      <c r="G129" s="551">
        <v>1024905.7</v>
      </c>
      <c r="H129" s="521"/>
      <c r="I129" s="551">
        <v>1253819</v>
      </c>
      <c r="J129" s="521"/>
      <c r="K129" s="448"/>
    </row>
    <row r="130" spans="1:13" ht="15">
      <c r="B130" s="499">
        <v>3</v>
      </c>
      <c r="C130" s="353" t="s">
        <v>762</v>
      </c>
      <c r="D130" s="499">
        <v>1000</v>
      </c>
      <c r="E130" s="521">
        <v>696429</v>
      </c>
      <c r="F130" s="521"/>
      <c r="G130" s="551">
        <v>1026900</v>
      </c>
      <c r="H130" s="521"/>
      <c r="I130" s="551">
        <v>1137200</v>
      </c>
      <c r="J130" s="521"/>
      <c r="K130" s="521"/>
    </row>
    <row r="131" spans="1:13" ht="15">
      <c r="B131" s="499">
        <v>4</v>
      </c>
      <c r="C131" s="353" t="s">
        <v>550</v>
      </c>
      <c r="D131" s="499">
        <v>216863</v>
      </c>
      <c r="E131" s="521">
        <v>10731965.130000001</v>
      </c>
      <c r="F131" s="521"/>
      <c r="G131" s="551">
        <v>4857731.2</v>
      </c>
      <c r="H131" s="521"/>
      <c r="I131" s="551">
        <v>5411269.4000000004</v>
      </c>
      <c r="J131" s="521"/>
      <c r="K131" s="521"/>
    </row>
    <row r="132" spans="1:13" ht="15">
      <c r="B132" s="499">
        <v>5</v>
      </c>
      <c r="C132" s="353" t="s">
        <v>527</v>
      </c>
      <c r="D132" s="499">
        <v>135399</v>
      </c>
      <c r="E132" s="521">
        <v>1246776.05</v>
      </c>
      <c r="F132" s="521"/>
      <c r="G132" s="551">
        <v>1408149.6</v>
      </c>
      <c r="H132" s="521"/>
      <c r="I132" s="551">
        <v>1563243</v>
      </c>
      <c r="J132" s="521"/>
      <c r="K132" s="521"/>
    </row>
    <row r="133" spans="1:13" ht="15">
      <c r="B133" s="499">
        <v>6</v>
      </c>
      <c r="C133" s="353" t="s">
        <v>763</v>
      </c>
      <c r="D133" s="499">
        <v>39091</v>
      </c>
      <c r="E133" s="521">
        <v>951084.03</v>
      </c>
      <c r="F133" s="521"/>
      <c r="G133" s="551">
        <v>922547.6</v>
      </c>
      <c r="H133" s="521"/>
      <c r="I133" s="551">
        <v>930365.8</v>
      </c>
      <c r="J133" s="521"/>
      <c r="K133" s="521"/>
    </row>
    <row r="134" spans="1:13" ht="15">
      <c r="B134" s="499">
        <v>7</v>
      </c>
      <c r="C134" s="353" t="s">
        <v>702</v>
      </c>
      <c r="D134" s="499">
        <v>23716</v>
      </c>
      <c r="E134" s="521">
        <v>4392440.3600000003</v>
      </c>
      <c r="F134" s="521"/>
      <c r="G134" s="551">
        <v>4121840.8</v>
      </c>
      <c r="H134" s="521"/>
      <c r="I134" s="551">
        <v>4413547.5999999996</v>
      </c>
      <c r="J134" s="521"/>
      <c r="K134" s="521"/>
    </row>
    <row r="135" spans="1:13" ht="15">
      <c r="B135" s="499">
        <v>8</v>
      </c>
      <c r="C135" s="353" t="s">
        <v>764</v>
      </c>
      <c r="D135" s="499">
        <v>24816</v>
      </c>
      <c r="E135" s="521">
        <v>4962455.5199999996</v>
      </c>
      <c r="F135" s="521"/>
      <c r="G135" s="551">
        <v>4916049.5999999996</v>
      </c>
      <c r="H135" s="521"/>
      <c r="I135" s="551">
        <v>4700150.4000000004</v>
      </c>
      <c r="J135" s="521"/>
      <c r="K135" s="521"/>
    </row>
    <row r="136" spans="1:13" ht="15">
      <c r="B136" s="499">
        <v>9</v>
      </c>
      <c r="C136" s="353" t="s">
        <v>551</v>
      </c>
      <c r="D136" s="499">
        <v>183071</v>
      </c>
      <c r="E136" s="521">
        <v>1698207.96</v>
      </c>
      <c r="F136" s="521"/>
      <c r="G136" s="551">
        <v>2617915.2999999998</v>
      </c>
      <c r="H136" s="521"/>
      <c r="I136" s="551">
        <v>2563003.7999999998</v>
      </c>
      <c r="J136" s="521"/>
      <c r="K136" s="521"/>
    </row>
    <row r="137" spans="1:13" ht="15">
      <c r="B137" s="499">
        <v>10</v>
      </c>
      <c r="C137" s="353" t="s">
        <v>703</v>
      </c>
      <c r="D137" s="499">
        <v>18150</v>
      </c>
      <c r="E137" s="521">
        <v>4835160</v>
      </c>
      <c r="F137" s="521"/>
      <c r="G137" s="551">
        <v>4185390</v>
      </c>
      <c r="H137" s="521"/>
      <c r="I137" s="551">
        <v>4167240</v>
      </c>
      <c r="J137" s="521"/>
      <c r="K137" s="521"/>
    </row>
    <row r="138" spans="1:13" ht="15">
      <c r="B138" s="499">
        <v>11</v>
      </c>
      <c r="C138" s="353" t="s">
        <v>765</v>
      </c>
      <c r="D138" s="499">
        <v>23897</v>
      </c>
      <c r="E138" s="521">
        <v>2633565.7599999998</v>
      </c>
      <c r="F138" s="521"/>
      <c r="G138" s="551">
        <v>6315977.0999999996</v>
      </c>
      <c r="H138" s="521"/>
      <c r="I138" s="551">
        <v>6546095.4000000004</v>
      </c>
      <c r="J138" s="521"/>
      <c r="K138" s="521"/>
    </row>
    <row r="139" spans="1:13" ht="15">
      <c r="B139" s="499">
        <v>12</v>
      </c>
      <c r="C139" s="353" t="s">
        <v>766</v>
      </c>
      <c r="D139" s="499">
        <v>39570</v>
      </c>
      <c r="E139" s="521">
        <v>2744884.56</v>
      </c>
      <c r="G139" s="551">
        <v>1574886</v>
      </c>
      <c r="I139" s="551">
        <v>1582800</v>
      </c>
      <c r="K139" s="521"/>
    </row>
    <row r="140" spans="1:13" ht="16.5" customHeight="1" thickBot="1">
      <c r="E140" s="573">
        <f>SUM(E128:E139)</f>
        <v>38866968.160000004</v>
      </c>
      <c r="G140" s="559">
        <f>SUM(G128:G139)-0.5</f>
        <v>34348102.399999999</v>
      </c>
      <c r="I140" s="573">
        <f>35974737.8-0.45</f>
        <v>35974737.349999994</v>
      </c>
      <c r="K140" s="521"/>
      <c r="L140" s="558">
        <f>SUM(L128:L139)</f>
        <v>0</v>
      </c>
      <c r="M140" s="558"/>
    </row>
    <row r="141" spans="1:13" ht="9.75" customHeight="1" thickTop="1">
      <c r="B141" s="499"/>
      <c r="E141" s="558"/>
      <c r="F141" s="558"/>
      <c r="G141" s="558"/>
      <c r="H141" s="558"/>
      <c r="I141" s="558"/>
      <c r="J141" s="558"/>
      <c r="K141" s="521"/>
    </row>
    <row r="142" spans="1:13" ht="60.75" customHeight="1">
      <c r="B142" s="833" t="s">
        <v>1218</v>
      </c>
      <c r="C142" s="833"/>
      <c r="D142" s="833"/>
      <c r="E142" s="833"/>
      <c r="F142" s="833"/>
      <c r="G142" s="833"/>
      <c r="H142" s="833"/>
      <c r="I142" s="833"/>
      <c r="J142" s="537"/>
      <c r="K142" s="537"/>
      <c r="L142" s="448"/>
      <c r="M142" s="448"/>
    </row>
    <row r="143" spans="1:13" ht="11.25" customHeight="1">
      <c r="K143" s="521"/>
      <c r="L143" s="418"/>
      <c r="M143" s="418"/>
    </row>
    <row r="144" spans="1:13" ht="16.5" customHeight="1">
      <c r="A144" s="574" t="s">
        <v>680</v>
      </c>
      <c r="B144" s="383" t="s">
        <v>12</v>
      </c>
      <c r="C144" s="383"/>
      <c r="D144" s="383"/>
      <c r="E144" s="72"/>
      <c r="F144" s="72"/>
      <c r="G144" s="72"/>
      <c r="H144" s="72"/>
      <c r="I144" s="72"/>
      <c r="J144" s="72"/>
      <c r="K144" s="521"/>
    </row>
    <row r="145" spans="1:15" ht="3.75" customHeight="1">
      <c r="A145" s="574"/>
      <c r="B145" s="383"/>
      <c r="C145" s="383"/>
      <c r="D145" s="383"/>
      <c r="E145" s="72"/>
      <c r="F145" s="72"/>
      <c r="G145" s="72"/>
      <c r="H145" s="72"/>
      <c r="I145" s="72"/>
      <c r="J145" s="72"/>
      <c r="K145" s="521"/>
    </row>
    <row r="146" spans="1:15" ht="16.5" customHeight="1">
      <c r="A146" s="574"/>
      <c r="B146" s="353" t="s">
        <v>162</v>
      </c>
      <c r="C146" s="383"/>
      <c r="D146" s="383"/>
      <c r="E146" s="225" t="s">
        <v>1199</v>
      </c>
      <c r="F146" s="72"/>
      <c r="G146" s="575">
        <f>G154</f>
        <v>604146</v>
      </c>
      <c r="H146" s="72"/>
      <c r="I146" s="575">
        <f>I154</f>
        <v>469377.47</v>
      </c>
      <c r="J146" s="72"/>
      <c r="K146" s="521"/>
      <c r="L146" s="555">
        <f>L154</f>
        <v>0</v>
      </c>
      <c r="M146" s="555"/>
    </row>
    <row r="147" spans="1:15" ht="16.5" customHeight="1">
      <c r="A147" s="574"/>
      <c r="B147" s="353" t="s">
        <v>318</v>
      </c>
      <c r="C147" s="383"/>
      <c r="D147" s="383"/>
      <c r="E147" s="225" t="s">
        <v>1200</v>
      </c>
      <c r="F147" s="72"/>
      <c r="G147" s="576">
        <f>G184</f>
        <v>2022535856.3499999</v>
      </c>
      <c r="H147" s="72"/>
      <c r="I147" s="576">
        <f>I184</f>
        <v>1130670637.9599998</v>
      </c>
      <c r="J147" s="72"/>
      <c r="K147" s="521"/>
      <c r="L147" s="560"/>
      <c r="M147" s="560"/>
    </row>
    <row r="148" spans="1:15" ht="16.5" customHeight="1" thickBot="1">
      <c r="A148" s="574"/>
      <c r="B148" s="383"/>
      <c r="C148" s="383"/>
      <c r="D148" s="383"/>
      <c r="E148" s="72"/>
      <c r="F148" s="72"/>
      <c r="G148" s="577">
        <f>SUM(G146:G147)</f>
        <v>2023140002.3499999</v>
      </c>
      <c r="H148" s="72"/>
      <c r="I148" s="577">
        <f>SUM(I146:I147)-0.3</f>
        <v>1131140015.1299999</v>
      </c>
      <c r="J148" s="72"/>
      <c r="K148" s="521"/>
      <c r="L148" s="504"/>
      <c r="M148" s="504"/>
      <c r="N148" s="449">
        <v>2042503164.6999998</v>
      </c>
      <c r="O148" s="353">
        <f>G148-N148</f>
        <v>-19363162.349999905</v>
      </c>
    </row>
    <row r="149" spans="1:15" ht="15.75" customHeight="1" thickTop="1">
      <c r="A149" s="513" t="s">
        <v>1144</v>
      </c>
      <c r="B149" s="353" t="s">
        <v>162</v>
      </c>
      <c r="C149" s="421"/>
      <c r="D149" s="421"/>
      <c r="E149" s="72"/>
      <c r="F149" s="72"/>
      <c r="G149" s="448"/>
      <c r="H149" s="72"/>
      <c r="I149" s="448"/>
      <c r="J149" s="72"/>
      <c r="K149" s="521"/>
      <c r="L149" s="72"/>
      <c r="M149" s="72"/>
    </row>
    <row r="150" spans="1:15" ht="3.75" hidden="1" customHeight="1">
      <c r="A150" s="513"/>
      <c r="C150" s="421"/>
      <c r="D150" s="421"/>
      <c r="E150" s="72"/>
      <c r="F150" s="72"/>
      <c r="G150" s="448"/>
      <c r="H150" s="72"/>
      <c r="I150" s="448"/>
      <c r="J150" s="72"/>
      <c r="K150" s="521"/>
      <c r="L150" s="72"/>
      <c r="M150" s="72"/>
    </row>
    <row r="151" spans="1:15" ht="15">
      <c r="B151" s="517" t="s">
        <v>525</v>
      </c>
      <c r="C151" s="517"/>
      <c r="D151" s="517"/>
      <c r="E151" s="72"/>
      <c r="F151" s="72"/>
      <c r="G151" s="578">
        <v>560188</v>
      </c>
      <c r="H151" s="72"/>
      <c r="I151" s="578">
        <f>430537-0.45</f>
        <v>430536.55</v>
      </c>
      <c r="J151" s="72"/>
      <c r="K151" s="521"/>
    </row>
    <row r="152" spans="1:15" ht="15">
      <c r="B152" s="517" t="s">
        <v>671</v>
      </c>
      <c r="C152" s="517"/>
      <c r="D152" s="517"/>
      <c r="E152" s="72"/>
      <c r="F152" s="72"/>
      <c r="G152" s="579">
        <v>1576</v>
      </c>
      <c r="H152" s="72"/>
      <c r="I152" s="579">
        <f>61781-24199.63-0.45</f>
        <v>37580.92</v>
      </c>
      <c r="J152" s="72"/>
      <c r="K152" s="558"/>
    </row>
    <row r="153" spans="1:15" ht="15">
      <c r="B153" s="517" t="s">
        <v>526</v>
      </c>
      <c r="C153" s="517"/>
      <c r="D153" s="517"/>
      <c r="E153" s="183"/>
      <c r="F153" s="183"/>
      <c r="G153" s="579">
        <v>42382</v>
      </c>
      <c r="H153" s="183"/>
      <c r="I153" s="579">
        <v>1260</v>
      </c>
      <c r="J153" s="183"/>
      <c r="K153" s="521"/>
    </row>
    <row r="154" spans="1:15" ht="15.75" thickBot="1">
      <c r="E154" s="183"/>
      <c r="F154" s="183"/>
      <c r="G154" s="522">
        <f>SUM(G151:G153)</f>
        <v>604146</v>
      </c>
      <c r="H154" s="183"/>
      <c r="I154" s="522">
        <f>SUM(I151:I153)</f>
        <v>469377.47</v>
      </c>
      <c r="J154" s="183"/>
      <c r="K154" s="449"/>
      <c r="O154" s="449">
        <v>2042503164.6999998</v>
      </c>
    </row>
    <row r="155" spans="1:15" ht="6" customHeight="1" thickTop="1">
      <c r="E155" s="183"/>
      <c r="F155" s="183"/>
      <c r="G155" s="448"/>
      <c r="H155" s="183"/>
      <c r="I155" s="448"/>
      <c r="J155" s="183"/>
      <c r="K155" s="449"/>
    </row>
    <row r="156" spans="1:15" ht="15">
      <c r="A156" s="513" t="s">
        <v>1145</v>
      </c>
      <c r="B156" s="353" t="s">
        <v>318</v>
      </c>
      <c r="E156" s="183"/>
      <c r="F156" s="183"/>
      <c r="H156" s="183"/>
      <c r="J156" s="183"/>
      <c r="K156" s="449"/>
    </row>
    <row r="157" spans="1:15" ht="0.75" customHeight="1">
      <c r="A157" s="513"/>
      <c r="E157" s="183"/>
      <c r="F157" s="183"/>
      <c r="H157" s="183"/>
      <c r="J157" s="183"/>
      <c r="K157" s="418"/>
    </row>
    <row r="158" spans="1:15" ht="14.85" customHeight="1">
      <c r="A158" s="513"/>
      <c r="B158" s="353" t="s">
        <v>636</v>
      </c>
      <c r="E158" s="183"/>
      <c r="F158" s="183"/>
      <c r="H158" s="183"/>
      <c r="J158" s="183"/>
      <c r="K158" s="418"/>
    </row>
    <row r="159" spans="1:15" ht="14.85" customHeight="1">
      <c r="B159" s="362" t="s">
        <v>1053</v>
      </c>
      <c r="C159" s="362"/>
      <c r="D159" s="362"/>
      <c r="E159" s="448"/>
      <c r="F159" s="448"/>
      <c r="G159" s="578">
        <f>11748931</f>
        <v>11748931</v>
      </c>
      <c r="H159" s="448"/>
      <c r="I159" s="578">
        <f>7963655+16725-18997.95+8476.66</f>
        <v>7969858.71</v>
      </c>
      <c r="J159" s="448"/>
      <c r="K159" s="418"/>
    </row>
    <row r="160" spans="1:15" ht="14.85" customHeight="1">
      <c r="B160" s="362" t="s">
        <v>1223</v>
      </c>
      <c r="C160" s="362"/>
      <c r="D160" s="362"/>
      <c r="E160" s="448"/>
      <c r="F160" s="448"/>
      <c r="G160" s="579">
        <v>1308773</v>
      </c>
      <c r="H160" s="448"/>
      <c r="I160" s="579">
        <v>1963568</v>
      </c>
      <c r="J160" s="448"/>
      <c r="K160" s="418"/>
    </row>
    <row r="161" spans="1:16" ht="14.85" customHeight="1">
      <c r="B161" s="362" t="s">
        <v>666</v>
      </c>
      <c r="C161" s="362"/>
      <c r="D161" s="362"/>
      <c r="E161" s="448"/>
      <c r="F161" s="448"/>
      <c r="G161" s="579">
        <v>701819.2</v>
      </c>
      <c r="H161" s="448"/>
      <c r="I161" s="579">
        <f>1303913.83</f>
        <v>1303913.83</v>
      </c>
      <c r="J161" s="448"/>
      <c r="K161" s="418"/>
    </row>
    <row r="162" spans="1:16" ht="14.85" customHeight="1">
      <c r="B162" s="362" t="s">
        <v>700</v>
      </c>
      <c r="C162" s="362"/>
      <c r="D162" s="362"/>
      <c r="E162" s="448"/>
      <c r="F162" s="448"/>
      <c r="G162" s="579">
        <v>11075580</v>
      </c>
      <c r="H162" s="448"/>
      <c r="I162" s="579">
        <v>10471778</v>
      </c>
      <c r="J162" s="448"/>
      <c r="K162" s="418"/>
    </row>
    <row r="163" spans="1:16" ht="14.85" customHeight="1">
      <c r="A163" s="353"/>
      <c r="B163" s="362" t="s">
        <v>701</v>
      </c>
      <c r="C163" s="362"/>
      <c r="D163" s="362"/>
      <c r="E163" s="448"/>
      <c r="F163" s="448"/>
      <c r="G163" s="527">
        <v>0</v>
      </c>
      <c r="H163" s="448"/>
      <c r="I163" s="527">
        <v>245815.02</v>
      </c>
      <c r="J163" s="448"/>
      <c r="K163" s="418"/>
    </row>
    <row r="164" spans="1:16" ht="14.85" customHeight="1">
      <c r="A164" s="353"/>
      <c r="B164" s="362" t="s">
        <v>645</v>
      </c>
      <c r="C164" s="362"/>
      <c r="D164" s="362"/>
      <c r="E164" s="501"/>
      <c r="F164" s="448"/>
      <c r="G164" s="579">
        <f>685244.88-0.45</f>
        <v>685244.43</v>
      </c>
      <c r="H164" s="448"/>
      <c r="I164" s="579">
        <v>703435</v>
      </c>
      <c r="J164" s="448"/>
      <c r="K164" s="72"/>
    </row>
    <row r="165" spans="1:16" ht="14.85" customHeight="1">
      <c r="A165" s="353"/>
      <c r="B165" s="362" t="s">
        <v>527</v>
      </c>
      <c r="C165" s="362"/>
      <c r="D165" s="362"/>
      <c r="E165" s="448"/>
      <c r="F165" s="448"/>
      <c r="G165" s="527">
        <v>178296</v>
      </c>
      <c r="H165" s="448"/>
      <c r="I165" s="527">
        <v>181151</v>
      </c>
      <c r="J165" s="448"/>
      <c r="K165" s="72"/>
    </row>
    <row r="166" spans="1:16" ht="14.85" customHeight="1">
      <c r="A166" s="353"/>
      <c r="B166" s="362" t="s">
        <v>646</v>
      </c>
      <c r="C166" s="362"/>
      <c r="D166" s="362"/>
      <c r="E166" s="448"/>
      <c r="F166" s="448"/>
      <c r="G166" s="580">
        <f>128731929-9420-6315-940-1678696-17325-115397.65-1416743.28-5538-5959-33284-1453088-3374-786-10569-4580-708371.64-14147364.14-537-4629-861456-3400-5600+1132710</f>
        <v>109371266.28999999</v>
      </c>
      <c r="H166" s="448"/>
      <c r="I166" s="580">
        <f>85215007-704580-31058714-70500-1486338-2598203-9114952</f>
        <v>40181720</v>
      </c>
      <c r="J166" s="448"/>
      <c r="K166" s="72"/>
    </row>
    <row r="167" spans="1:16" ht="16.5" customHeight="1">
      <c r="A167" s="353"/>
      <c r="B167" s="362"/>
      <c r="C167" s="362"/>
      <c r="D167" s="523"/>
      <c r="E167" s="448"/>
      <c r="F167" s="448"/>
      <c r="G167" s="524">
        <f>SUM(G159:G166)</f>
        <v>135069909.91999999</v>
      </c>
      <c r="H167" s="448"/>
      <c r="I167" s="524">
        <f>SUM(I159:I166)-0.45</f>
        <v>63021239.109999999</v>
      </c>
      <c r="J167" s="448"/>
      <c r="K167" s="72"/>
    </row>
    <row r="168" spans="1:16" ht="4.5" customHeight="1">
      <c r="A168" s="353"/>
      <c r="K168" s="72"/>
      <c r="L168" s="373"/>
      <c r="M168" s="373"/>
    </row>
    <row r="169" spans="1:16" ht="15">
      <c r="A169" s="574"/>
      <c r="B169" s="362" t="s">
        <v>672</v>
      </c>
      <c r="D169" s="362"/>
      <c r="E169" s="525"/>
      <c r="F169" s="581"/>
      <c r="G169" s="448"/>
      <c r="H169" s="581"/>
      <c r="I169" s="448"/>
      <c r="J169" s="581"/>
      <c r="K169" s="448"/>
    </row>
    <row r="170" spans="1:16" ht="14.85" customHeight="1">
      <c r="B170" s="362" t="s">
        <v>645</v>
      </c>
      <c r="D170" s="362"/>
      <c r="E170" s="501"/>
      <c r="F170" s="448"/>
      <c r="G170" s="526">
        <f>420865679-0.45</f>
        <v>420865678.55000001</v>
      </c>
      <c r="H170" s="448"/>
      <c r="I170" s="526">
        <v>176710437.11000001</v>
      </c>
      <c r="J170" s="448"/>
      <c r="N170" s="500">
        <v>420865678.66000003</v>
      </c>
      <c r="P170" s="353">
        <f>G170-N170</f>
        <v>-0.11000001430511475</v>
      </c>
    </row>
    <row r="171" spans="1:16" ht="14.85" customHeight="1">
      <c r="B171" s="362" t="s">
        <v>895</v>
      </c>
      <c r="D171" s="362"/>
      <c r="E171" s="362"/>
      <c r="F171" s="448"/>
      <c r="G171" s="527">
        <f>72056001-0.45</f>
        <v>72056000.549999997</v>
      </c>
      <c r="H171" s="448"/>
      <c r="I171" s="527">
        <f>30000000</f>
        <v>30000000</v>
      </c>
      <c r="J171" s="448"/>
      <c r="N171" s="500">
        <v>72056000.849999994</v>
      </c>
      <c r="P171" s="353">
        <f t="shared" ref="P171:P183" si="0">G171-N171</f>
        <v>-0.29999999701976776</v>
      </c>
    </row>
    <row r="172" spans="1:16" ht="14.85" customHeight="1">
      <c r="B172" s="362" t="s">
        <v>834</v>
      </c>
      <c r="D172" s="362"/>
      <c r="E172" s="501"/>
      <c r="F172" s="448"/>
      <c r="G172" s="527">
        <f>285386450-0.45</f>
        <v>285386449.55000001</v>
      </c>
      <c r="H172" s="448"/>
      <c r="I172" s="527">
        <f>50000000+131210793.15</f>
        <v>181210793.15000001</v>
      </c>
      <c r="J172" s="448"/>
      <c r="N172" s="500">
        <v>285386450</v>
      </c>
      <c r="P172" s="353">
        <f t="shared" si="0"/>
        <v>-0.44999998807907104</v>
      </c>
    </row>
    <row r="173" spans="1:16" ht="14.85" customHeight="1">
      <c r="B173" s="362" t="s">
        <v>700</v>
      </c>
      <c r="D173" s="362"/>
      <c r="E173" s="501"/>
      <c r="F173" s="448"/>
      <c r="G173" s="527">
        <f>157318187-0.47-2500</f>
        <v>157315686.53</v>
      </c>
      <c r="H173" s="448"/>
      <c r="I173" s="527">
        <f>30000000+31830665</f>
        <v>61830665</v>
      </c>
      <c r="J173" s="448"/>
      <c r="N173" s="500">
        <v>157318187</v>
      </c>
      <c r="P173" s="353">
        <f t="shared" si="0"/>
        <v>-2500.4699999988079</v>
      </c>
    </row>
    <row r="174" spans="1:16" ht="14.85" customHeight="1">
      <c r="B174" s="362" t="s">
        <v>527</v>
      </c>
      <c r="D174" s="362"/>
      <c r="E174" s="501"/>
      <c r="F174" s="448"/>
      <c r="G174" s="527">
        <f>258891190-0.47</f>
        <v>258891189.53</v>
      </c>
      <c r="H174" s="448"/>
      <c r="I174" s="527">
        <v>242335148.61000001</v>
      </c>
      <c r="J174" s="448"/>
      <c r="N174" s="500">
        <v>258891189.59</v>
      </c>
      <c r="P174" s="353">
        <f t="shared" si="0"/>
        <v>-6.0000002384185791E-2</v>
      </c>
    </row>
    <row r="175" spans="1:16" ht="14.85" customHeight="1">
      <c r="B175" s="362" t="s">
        <v>1079</v>
      </c>
      <c r="D175" s="362"/>
      <c r="E175" s="501"/>
      <c r="F175" s="448"/>
      <c r="G175" s="527">
        <f>21359511-0.48</f>
        <v>21359510.52</v>
      </c>
      <c r="H175" s="448"/>
      <c r="I175" s="527">
        <v>0</v>
      </c>
      <c r="J175" s="448"/>
      <c r="N175" s="500">
        <v>21359510.75</v>
      </c>
      <c r="P175" s="353">
        <f t="shared" si="0"/>
        <v>-0.23000000044703484</v>
      </c>
    </row>
    <row r="176" spans="1:16" ht="14.85" customHeight="1">
      <c r="B176" s="362" t="s">
        <v>835</v>
      </c>
      <c r="D176" s="362"/>
      <c r="E176" s="501"/>
      <c r="F176" s="448"/>
      <c r="G176" s="527">
        <v>0</v>
      </c>
      <c r="H176" s="448"/>
      <c r="I176" s="527">
        <f>31683454.63+31262646.75</f>
        <v>62946101.379999995</v>
      </c>
      <c r="J176" s="448"/>
      <c r="P176" s="353">
        <f t="shared" si="0"/>
        <v>0</v>
      </c>
    </row>
    <row r="177" spans="1:16" ht="14.85" customHeight="1">
      <c r="B177" s="362" t="s">
        <v>896</v>
      </c>
      <c r="D177" s="362"/>
      <c r="E177" s="501"/>
      <c r="F177" s="448"/>
      <c r="G177" s="527">
        <f>73379241-0.47</f>
        <v>73379240.530000001</v>
      </c>
      <c r="H177" s="448"/>
      <c r="I177" s="527">
        <v>110405000</v>
      </c>
      <c r="J177" s="448"/>
      <c r="N177" s="500">
        <v>73379240.760000005</v>
      </c>
      <c r="P177" s="353">
        <f t="shared" si="0"/>
        <v>-0.23000000417232513</v>
      </c>
    </row>
    <row r="178" spans="1:16" ht="14.85" customHeight="1">
      <c r="B178" s="362" t="s">
        <v>897</v>
      </c>
      <c r="D178" s="362"/>
      <c r="E178" s="501"/>
      <c r="F178" s="448"/>
      <c r="G178" s="527">
        <f>200655763-0.47</f>
        <v>200655762.53</v>
      </c>
      <c r="H178" s="448"/>
      <c r="I178" s="527">
        <f>80914063+267011.72+9687.5-26701.17</f>
        <v>81164061.049999997</v>
      </c>
      <c r="J178" s="448"/>
      <c r="N178" s="500">
        <v>200655763.18000001</v>
      </c>
      <c r="P178" s="353">
        <f t="shared" si="0"/>
        <v>-0.65000000596046448</v>
      </c>
    </row>
    <row r="179" spans="1:16" ht="14.85" customHeight="1">
      <c r="B179" s="362" t="s">
        <v>800</v>
      </c>
      <c r="D179" s="362"/>
      <c r="E179" s="501"/>
      <c r="F179" s="448"/>
      <c r="G179" s="527">
        <f>105112747-0.45</f>
        <v>105112746.55</v>
      </c>
      <c r="H179" s="448"/>
      <c r="I179" s="527">
        <v>20000000</v>
      </c>
      <c r="J179" s="448"/>
      <c r="N179" s="500">
        <v>105112746.59999999</v>
      </c>
      <c r="P179" s="353">
        <f t="shared" si="0"/>
        <v>-4.9999997019767761E-2</v>
      </c>
    </row>
    <row r="180" spans="1:16" ht="14.85" customHeight="1">
      <c r="B180" s="362" t="s">
        <v>910</v>
      </c>
      <c r="D180" s="362"/>
      <c r="E180" s="501"/>
      <c r="F180" s="448"/>
      <c r="G180" s="527">
        <f>94841907-0.47</f>
        <v>94841906.530000001</v>
      </c>
      <c r="H180" s="448"/>
      <c r="I180" s="527">
        <f>20656193+10000000</f>
        <v>30656193</v>
      </c>
      <c r="J180" s="448"/>
      <c r="N180" s="500">
        <v>94841907.200000003</v>
      </c>
      <c r="P180" s="353">
        <f t="shared" si="0"/>
        <v>-0.67000000178813934</v>
      </c>
    </row>
    <row r="181" spans="1:16" ht="14.85" customHeight="1">
      <c r="B181" s="362" t="s">
        <v>911</v>
      </c>
      <c r="D181" s="362"/>
      <c r="E181" s="501"/>
      <c r="F181" s="448"/>
      <c r="G181" s="527">
        <f>42436012-0.47</f>
        <v>42436011.530000001</v>
      </c>
      <c r="H181" s="448"/>
      <c r="I181" s="527">
        <v>20391000</v>
      </c>
      <c r="J181" s="448"/>
      <c r="N181" s="500">
        <v>42436012</v>
      </c>
      <c r="P181" s="353">
        <f t="shared" si="0"/>
        <v>-0.4699999988079071</v>
      </c>
    </row>
    <row r="182" spans="1:16" ht="14.85" customHeight="1">
      <c r="B182" s="362" t="s">
        <v>646</v>
      </c>
      <c r="D182" s="362"/>
      <c r="E182" s="501"/>
      <c r="F182" s="448"/>
      <c r="G182" s="514">
        <f>155165764-0.47</f>
        <v>155165763.53</v>
      </c>
      <c r="H182" s="448"/>
      <c r="I182" s="514">
        <v>50000000</v>
      </c>
      <c r="J182" s="448"/>
      <c r="N182" s="500">
        <v>155165764.31</v>
      </c>
      <c r="P182" s="353">
        <f t="shared" si="0"/>
        <v>-0.7800000011920929</v>
      </c>
    </row>
    <row r="183" spans="1:16" ht="16.5" customHeight="1">
      <c r="A183" s="353"/>
      <c r="B183" s="499"/>
      <c r="C183" s="362"/>
      <c r="D183" s="362"/>
      <c r="E183" s="362"/>
      <c r="F183" s="448"/>
      <c r="G183" s="528">
        <f>SUM(G170:G182)</f>
        <v>1887465946.4299998</v>
      </c>
      <c r="H183" s="448"/>
      <c r="I183" s="528">
        <f>SUM(I170:I182)</f>
        <v>1067649399.3</v>
      </c>
      <c r="J183" s="448"/>
      <c r="L183" s="373"/>
      <c r="M183" s="373"/>
      <c r="P183" s="353">
        <f t="shared" si="0"/>
        <v>1887465946.4299998</v>
      </c>
    </row>
    <row r="184" spans="1:16" ht="15.75" thickBot="1">
      <c r="A184" s="353"/>
      <c r="B184" s="499"/>
      <c r="C184" s="362"/>
      <c r="D184" s="362"/>
      <c r="E184" s="362"/>
      <c r="F184" s="448"/>
      <c r="G184" s="522">
        <f>+G167+G183</f>
        <v>2022535856.3499999</v>
      </c>
      <c r="H184" s="448"/>
      <c r="I184" s="522">
        <f>+I167+I183-0.45</f>
        <v>1130670637.9599998</v>
      </c>
      <c r="J184" s="448"/>
      <c r="L184" s="373"/>
      <c r="M184" s="373"/>
    </row>
    <row r="185" spans="1:16" ht="3.75" customHeight="1" thickTop="1">
      <c r="A185" s="353"/>
      <c r="B185" s="499"/>
      <c r="C185" s="362"/>
      <c r="D185" s="362"/>
      <c r="E185" s="362"/>
      <c r="F185" s="448"/>
      <c r="G185" s="448"/>
      <c r="H185" s="448"/>
      <c r="I185" s="448"/>
      <c r="J185" s="448"/>
      <c r="L185" s="373"/>
      <c r="M185" s="373"/>
    </row>
    <row r="186" spans="1:16" ht="16.5" customHeight="1">
      <c r="A186" s="353"/>
      <c r="B186" s="834" t="s">
        <v>1264</v>
      </c>
      <c r="C186" s="834"/>
      <c r="D186" s="834"/>
      <c r="E186" s="834"/>
      <c r="F186" s="834"/>
      <c r="G186" s="834"/>
      <c r="H186" s="834"/>
      <c r="I186" s="834"/>
      <c r="J186" s="364"/>
      <c r="K186" s="364"/>
      <c r="L186" s="449"/>
      <c r="M186" s="449"/>
    </row>
    <row r="187" spans="1:16" ht="6" customHeight="1">
      <c r="A187" s="353"/>
      <c r="B187" s="499"/>
      <c r="F187" s="364"/>
      <c r="G187" s="364"/>
      <c r="H187" s="364"/>
      <c r="I187" s="364"/>
      <c r="J187" s="364"/>
      <c r="K187" s="364"/>
      <c r="L187" s="449"/>
      <c r="M187" s="449"/>
    </row>
    <row r="188" spans="1:16" ht="16.5" hidden="1" customHeight="1">
      <c r="A188" s="353"/>
      <c r="B188" s="499"/>
      <c r="F188" s="364"/>
      <c r="G188" s="364"/>
      <c r="H188" s="364"/>
      <c r="I188" s="364"/>
      <c r="J188" s="364"/>
      <c r="K188" s="364"/>
      <c r="L188" s="449"/>
      <c r="M188" s="449"/>
    </row>
    <row r="189" spans="1:16" s="373" customFormat="1" ht="15">
      <c r="A189" s="582" t="s">
        <v>681</v>
      </c>
      <c r="B189" s="583" t="s">
        <v>2</v>
      </c>
      <c r="E189" s="502"/>
      <c r="F189" s="502"/>
      <c r="G189" s="502"/>
      <c r="H189" s="502"/>
      <c r="I189" s="502"/>
      <c r="J189" s="502"/>
      <c r="K189" s="448"/>
      <c r="L189" s="448"/>
      <c r="M189" s="448"/>
    </row>
    <row r="190" spans="1:16" ht="3.75" customHeight="1">
      <c r="A190" s="584"/>
      <c r="B190" s="383"/>
      <c r="E190" s="364"/>
      <c r="F190" s="364"/>
      <c r="G190" s="364"/>
      <c r="H190" s="364"/>
      <c r="I190" s="364"/>
      <c r="J190" s="364"/>
      <c r="K190" s="448"/>
      <c r="L190" s="449"/>
      <c r="M190" s="449"/>
    </row>
    <row r="191" spans="1:16" ht="15">
      <c r="A191" s="353"/>
      <c r="B191" s="383" t="s">
        <v>53</v>
      </c>
      <c r="D191" s="512"/>
      <c r="E191" s="512"/>
      <c r="F191" s="512"/>
      <c r="G191" s="512"/>
      <c r="H191" s="512"/>
      <c r="I191" s="512"/>
      <c r="J191" s="512"/>
      <c r="K191" s="448"/>
      <c r="L191" s="449"/>
      <c r="M191" s="449"/>
    </row>
    <row r="192" spans="1:16" ht="3" customHeight="1">
      <c r="A192" s="353"/>
      <c r="B192" s="383"/>
      <c r="D192" s="512"/>
      <c r="E192" s="512"/>
      <c r="F192" s="512"/>
      <c r="G192" s="512"/>
      <c r="H192" s="512"/>
      <c r="I192" s="512"/>
      <c r="J192" s="512"/>
      <c r="K192" s="448"/>
      <c r="L192" s="449"/>
      <c r="M192" s="449"/>
    </row>
    <row r="193" spans="1:13" ht="15.75" thickBot="1">
      <c r="A193" s="585"/>
      <c r="B193" s="353" t="s">
        <v>54</v>
      </c>
      <c r="G193" s="586">
        <v>10000000000</v>
      </c>
      <c r="I193" s="586">
        <v>10000000000</v>
      </c>
      <c r="K193" s="448"/>
      <c r="L193" s="373"/>
      <c r="M193" s="373"/>
    </row>
    <row r="194" spans="1:13" ht="16.5" customHeight="1" thickTop="1">
      <c r="A194" s="585"/>
      <c r="G194" s="373"/>
      <c r="I194" s="373"/>
      <c r="K194" s="448"/>
      <c r="L194" s="373"/>
      <c r="M194" s="373"/>
    </row>
    <row r="195" spans="1:13" ht="15">
      <c r="A195" s="585"/>
      <c r="B195" s="364" t="s">
        <v>583</v>
      </c>
      <c r="D195" s="364"/>
      <c r="E195" s="364"/>
      <c r="F195" s="364"/>
      <c r="G195" s="448"/>
      <c r="H195" s="364"/>
      <c r="I195" s="448"/>
      <c r="J195" s="364"/>
      <c r="K195" s="448"/>
      <c r="L195" s="448"/>
      <c r="M195" s="448"/>
    </row>
    <row r="196" spans="1:13" ht="4.5" customHeight="1">
      <c r="A196" s="585"/>
      <c r="B196" s="364"/>
      <c r="D196" s="364"/>
      <c r="E196" s="364"/>
      <c r="F196" s="364"/>
      <c r="G196" s="448"/>
      <c r="H196" s="364"/>
      <c r="I196" s="448"/>
      <c r="J196" s="364"/>
      <c r="K196" s="448"/>
      <c r="L196" s="448"/>
      <c r="M196" s="448"/>
    </row>
    <row r="197" spans="1:13" ht="16.5" customHeight="1">
      <c r="B197" s="835" t="s">
        <v>830</v>
      </c>
      <c r="C197" s="835"/>
      <c r="D197" s="835"/>
      <c r="E197" s="835"/>
      <c r="F197" s="364"/>
      <c r="G197" s="544">
        <v>310000000</v>
      </c>
      <c r="H197" s="447"/>
      <c r="I197" s="544">
        <v>310000000</v>
      </c>
      <c r="J197" s="364"/>
      <c r="K197" s="448"/>
      <c r="L197" s="572"/>
      <c r="M197" s="572"/>
    </row>
    <row r="198" spans="1:13" ht="16.5" customHeight="1">
      <c r="A198" s="353"/>
      <c r="B198" s="831" t="s">
        <v>831</v>
      </c>
      <c r="C198" s="831"/>
      <c r="D198" s="831"/>
      <c r="E198" s="831"/>
      <c r="G198" s="544">
        <v>1400</v>
      </c>
      <c r="H198" s="348"/>
      <c r="I198" s="544">
        <v>1400</v>
      </c>
      <c r="K198" s="448"/>
      <c r="L198" s="572"/>
      <c r="M198" s="572"/>
    </row>
    <row r="199" spans="1:13" ht="31.5" customHeight="1">
      <c r="A199" s="353"/>
      <c r="B199" s="831" t="s">
        <v>849</v>
      </c>
      <c r="C199" s="831"/>
      <c r="D199" s="831"/>
      <c r="E199" s="831"/>
      <c r="G199" s="544">
        <v>673146400</v>
      </c>
      <c r="H199" s="348"/>
      <c r="I199" s="544">
        <v>673146400</v>
      </c>
      <c r="K199" s="448"/>
      <c r="L199" s="572"/>
      <c r="M199" s="572"/>
    </row>
    <row r="200" spans="1:13" ht="30" customHeight="1">
      <c r="A200" s="353"/>
      <c r="B200" s="831" t="s">
        <v>832</v>
      </c>
      <c r="C200" s="831"/>
      <c r="D200" s="831"/>
      <c r="E200" s="831"/>
      <c r="G200" s="544">
        <v>665907300</v>
      </c>
      <c r="H200" s="348"/>
      <c r="I200" s="544">
        <v>665907300</v>
      </c>
      <c r="K200" s="448"/>
      <c r="L200" s="572"/>
      <c r="M200" s="572"/>
    </row>
    <row r="201" spans="1:13" ht="16.5" customHeight="1" thickBot="1">
      <c r="A201" s="353"/>
      <c r="G201" s="629">
        <f>SUM(G197:G200)</f>
        <v>1649055100</v>
      </c>
      <c r="H201" s="348"/>
      <c r="I201" s="629">
        <f>SUM(I197:I200)</f>
        <v>1649055100</v>
      </c>
      <c r="K201" s="448"/>
      <c r="L201" s="572"/>
      <c r="M201" s="572"/>
    </row>
    <row r="202" spans="1:13" ht="11.25" customHeight="1" thickTop="1">
      <c r="A202" s="353"/>
      <c r="K202" s="448"/>
      <c r="L202" s="572"/>
      <c r="M202" s="572"/>
    </row>
    <row r="203" spans="1:13" ht="16.5" customHeight="1">
      <c r="A203" s="513" t="s">
        <v>1150</v>
      </c>
      <c r="B203" s="353" t="s">
        <v>1151</v>
      </c>
      <c r="C203" s="364"/>
      <c r="D203" s="72"/>
      <c r="E203" s="364"/>
      <c r="F203" s="364"/>
      <c r="G203" s="572"/>
      <c r="H203" s="572"/>
      <c r="I203" s="572"/>
      <c r="K203" s="448"/>
      <c r="L203" s="572"/>
      <c r="M203" s="572"/>
    </row>
    <row r="204" spans="1:13" ht="2.25" customHeight="1">
      <c r="B204" s="364"/>
      <c r="D204" s="364"/>
      <c r="E204" s="364"/>
      <c r="F204" s="364"/>
      <c r="G204" s="572"/>
      <c r="H204" s="572"/>
      <c r="I204" s="572"/>
      <c r="K204" s="448"/>
      <c r="L204" s="572"/>
      <c r="M204" s="572"/>
    </row>
    <row r="205" spans="1:13" ht="16.5" customHeight="1">
      <c r="B205" s="383" t="s">
        <v>1152</v>
      </c>
      <c r="C205" s="383"/>
      <c r="D205" s="72"/>
      <c r="E205" s="72"/>
      <c r="F205" s="364"/>
      <c r="G205" s="572"/>
      <c r="H205" s="572"/>
      <c r="I205" s="572"/>
      <c r="K205" s="448"/>
      <c r="L205" s="572"/>
      <c r="M205" s="572"/>
    </row>
    <row r="206" spans="1:13" ht="16.5" customHeight="1">
      <c r="B206" s="808" t="s">
        <v>1153</v>
      </c>
      <c r="C206" s="808"/>
      <c r="D206" s="493"/>
      <c r="E206" s="630" t="s">
        <v>1154</v>
      </c>
      <c r="F206" s="493"/>
      <c r="G206" s="630" t="s">
        <v>62</v>
      </c>
      <c r="H206" s="587"/>
      <c r="I206" s="630" t="s">
        <v>63</v>
      </c>
      <c r="K206" s="448"/>
      <c r="L206" s="572"/>
      <c r="M206" s="572"/>
    </row>
    <row r="207" spans="1:13" ht="15">
      <c r="B207" s="808" t="s">
        <v>1155</v>
      </c>
      <c r="C207" s="808"/>
      <c r="D207" s="808"/>
      <c r="E207" s="588">
        <v>0.73841567816624198</v>
      </c>
      <c r="F207" s="364">
        <v>110698922</v>
      </c>
      <c r="G207" s="449">
        <v>121768814</v>
      </c>
      <c r="H207" s="449">
        <v>1217688140</v>
      </c>
      <c r="I207" s="449">
        <v>1217688140</v>
      </c>
      <c r="K207" s="448"/>
      <c r="L207" s="572"/>
      <c r="M207" s="572"/>
    </row>
    <row r="208" spans="1:13" ht="15">
      <c r="B208" s="836" t="s">
        <v>1156</v>
      </c>
      <c r="C208" s="836"/>
      <c r="D208" s="814"/>
      <c r="E208" s="588">
        <v>1.1461108849546629E-6</v>
      </c>
      <c r="F208" s="364">
        <v>175</v>
      </c>
      <c r="G208" s="449">
        <v>189</v>
      </c>
      <c r="H208" s="449">
        <v>1890</v>
      </c>
      <c r="I208" s="449">
        <v>1890</v>
      </c>
      <c r="K208" s="448"/>
      <c r="L208" s="572"/>
      <c r="M208" s="572"/>
    </row>
    <row r="209" spans="2:13" ht="15">
      <c r="B209" s="836" t="s">
        <v>1157</v>
      </c>
      <c r="C209" s="836"/>
      <c r="D209" s="814"/>
      <c r="E209" s="588">
        <v>0.109</v>
      </c>
      <c r="F209" s="364">
        <v>14707314</v>
      </c>
      <c r="G209" s="449">
        <v>17970348</v>
      </c>
      <c r="H209" s="449"/>
      <c r="I209" s="449">
        <f>+G209*10</f>
        <v>179703480</v>
      </c>
      <c r="K209" s="448"/>
      <c r="L209" s="572"/>
      <c r="M209" s="572"/>
    </row>
    <row r="210" spans="2:13" ht="15">
      <c r="B210" s="836" t="s">
        <v>1158</v>
      </c>
      <c r="C210" s="836"/>
      <c r="D210" s="814"/>
      <c r="E210" s="588">
        <v>0.1222</v>
      </c>
      <c r="F210" s="502">
        <v>23690426</v>
      </c>
      <c r="G210" s="449">
        <v>20159130</v>
      </c>
      <c r="I210" s="449">
        <f>+G210*10</f>
        <v>201591300</v>
      </c>
      <c r="K210" s="448"/>
      <c r="L210" s="572"/>
      <c r="M210" s="572"/>
    </row>
    <row r="211" spans="2:13" ht="15">
      <c r="B211" s="836" t="s">
        <v>1159</v>
      </c>
      <c r="C211" s="836"/>
      <c r="D211" s="814"/>
      <c r="E211" s="589">
        <v>3.0349999999999999E-2</v>
      </c>
      <c r="F211" s="364">
        <v>817263</v>
      </c>
      <c r="G211" s="449">
        <v>5007029</v>
      </c>
      <c r="H211" s="449"/>
      <c r="I211" s="449">
        <f>+G211*10</f>
        <v>50070290</v>
      </c>
      <c r="K211" s="448"/>
      <c r="L211" s="572"/>
      <c r="M211" s="572"/>
    </row>
    <row r="212" spans="2:13" ht="16.5" customHeight="1" thickBot="1">
      <c r="C212" s="364"/>
      <c r="D212" s="72"/>
      <c r="E212" s="494">
        <f>SUM(E207:E211)</f>
        <v>0.99996682427712691</v>
      </c>
      <c r="F212" s="495"/>
      <c r="G212" s="522">
        <f>SUM(G207:G211)</f>
        <v>164905510</v>
      </c>
      <c r="H212" s="448"/>
      <c r="I212" s="522">
        <f>SUM(I207:I211)</f>
        <v>1649055100</v>
      </c>
      <c r="K212" s="448"/>
      <c r="L212" s="572"/>
      <c r="M212" s="572"/>
    </row>
    <row r="213" spans="2:13" ht="16.5" customHeight="1" thickTop="1">
      <c r="C213" s="364"/>
      <c r="D213" s="72"/>
      <c r="E213" s="631"/>
      <c r="F213" s="495"/>
      <c r="G213" s="448"/>
      <c r="H213" s="448"/>
      <c r="I213" s="448"/>
      <c r="K213" s="448"/>
      <c r="L213" s="572"/>
      <c r="M213" s="572"/>
    </row>
    <row r="214" spans="2:13" ht="16.5" customHeight="1">
      <c r="B214" s="383" t="s">
        <v>1160</v>
      </c>
      <c r="C214" s="383"/>
      <c r="D214" s="72"/>
      <c r="E214" s="72"/>
      <c r="F214" s="72"/>
      <c r="H214" s="590"/>
      <c r="I214" s="590"/>
      <c r="K214" s="448"/>
      <c r="L214" s="572"/>
      <c r="M214" s="572"/>
    </row>
    <row r="215" spans="2:13" ht="3" customHeight="1">
      <c r="B215" s="383"/>
      <c r="C215" s="383"/>
      <c r="D215" s="72"/>
      <c r="E215" s="72"/>
      <c r="F215" s="72"/>
      <c r="H215" s="590"/>
      <c r="I215" s="590"/>
      <c r="K215" s="448"/>
      <c r="L215" s="572"/>
      <c r="M215" s="572"/>
    </row>
    <row r="216" spans="2:13" ht="16.5" customHeight="1">
      <c r="B216" s="808" t="s">
        <v>1153</v>
      </c>
      <c r="C216" s="808"/>
      <c r="D216" s="493"/>
      <c r="E216" s="630" t="s">
        <v>1154</v>
      </c>
      <c r="F216" s="493"/>
      <c r="G216" s="630" t="s">
        <v>62</v>
      </c>
      <c r="H216" s="587"/>
      <c r="I216" s="630" t="s">
        <v>63</v>
      </c>
      <c r="K216" s="448"/>
      <c r="L216" s="572"/>
      <c r="M216" s="572"/>
    </row>
    <row r="217" spans="2:13" ht="16.5" customHeight="1">
      <c r="B217" s="808" t="s">
        <v>1155</v>
      </c>
      <c r="C217" s="808"/>
      <c r="D217" s="808"/>
      <c r="E217" s="588">
        <v>0.73841567816624198</v>
      </c>
      <c r="F217" s="364">
        <v>110698922</v>
      </c>
      <c r="G217" s="449">
        <v>121768814</v>
      </c>
      <c r="H217" s="449">
        <v>1217688140</v>
      </c>
      <c r="I217" s="449">
        <v>1217688140</v>
      </c>
      <c r="K217" s="448"/>
      <c r="L217" s="572"/>
      <c r="M217" s="572"/>
    </row>
    <row r="218" spans="2:13" ht="16.5" customHeight="1">
      <c r="B218" s="836" t="s">
        <v>1156</v>
      </c>
      <c r="C218" s="836"/>
      <c r="D218" s="421"/>
      <c r="E218" s="588">
        <v>1.1461108849546629E-6</v>
      </c>
      <c r="F218" s="364">
        <v>175</v>
      </c>
      <c r="G218" s="449">
        <v>189</v>
      </c>
      <c r="H218" s="449">
        <v>1890</v>
      </c>
      <c r="I218" s="449">
        <v>1890</v>
      </c>
      <c r="K218" s="448"/>
      <c r="L218" s="572"/>
      <c r="M218" s="572"/>
    </row>
    <row r="219" spans="2:13" ht="16.5" customHeight="1">
      <c r="B219" s="836" t="s">
        <v>1157</v>
      </c>
      <c r="C219" s="836"/>
      <c r="D219" s="421"/>
      <c r="E219" s="588">
        <v>0.1406</v>
      </c>
      <c r="F219" s="364">
        <v>14707314</v>
      </c>
      <c r="G219" s="449">
        <v>23198535</v>
      </c>
      <c r="H219" s="449">
        <v>208610930</v>
      </c>
      <c r="I219" s="449">
        <v>231985350</v>
      </c>
      <c r="K219" s="448"/>
      <c r="L219" s="572"/>
      <c r="M219" s="572"/>
    </row>
    <row r="220" spans="2:13" ht="16.5" customHeight="1">
      <c r="B220" s="836" t="s">
        <v>1158</v>
      </c>
      <c r="C220" s="836"/>
      <c r="D220" s="421"/>
      <c r="E220" s="589">
        <v>0.1009</v>
      </c>
      <c r="F220" s="502">
        <v>23690426</v>
      </c>
      <c r="G220" s="449">
        <v>16643365</v>
      </c>
      <c r="H220" s="449">
        <v>194494710</v>
      </c>
      <c r="I220" s="449">
        <v>166433650</v>
      </c>
      <c r="K220" s="448"/>
      <c r="L220" s="572"/>
      <c r="M220" s="572"/>
    </row>
    <row r="221" spans="2:13" ht="16.5" customHeight="1">
      <c r="B221" s="836" t="s">
        <v>1159</v>
      </c>
      <c r="C221" s="836"/>
      <c r="D221" s="421"/>
      <c r="E221" s="588">
        <v>1.9900000000000001E-2</v>
      </c>
      <c r="F221" s="364">
        <v>817263</v>
      </c>
      <c r="G221" s="449">
        <v>3294607</v>
      </c>
      <c r="H221" s="449">
        <v>28259430</v>
      </c>
      <c r="I221" s="449">
        <v>32946070</v>
      </c>
      <c r="K221" s="448"/>
      <c r="L221" s="572"/>
      <c r="M221" s="572"/>
    </row>
    <row r="222" spans="2:13" ht="16.5" customHeight="1" thickBot="1">
      <c r="C222" s="364"/>
      <c r="D222" s="72"/>
      <c r="E222" s="494">
        <f>SUM(E217:E221)</f>
        <v>0.99981682427712704</v>
      </c>
      <c r="F222" s="495"/>
      <c r="G222" s="522">
        <f>SUM(G217:G221)</f>
        <v>164905510</v>
      </c>
      <c r="H222" s="448"/>
      <c r="I222" s="522">
        <f>SUM(I217:I221)</f>
        <v>1649055100</v>
      </c>
      <c r="K222" s="448"/>
      <c r="L222" s="572"/>
      <c r="M222" s="572"/>
    </row>
    <row r="223" spans="2:13" ht="16.5" customHeight="1" thickTop="1">
      <c r="B223" s="364"/>
      <c r="D223" s="364"/>
      <c r="E223" s="364"/>
      <c r="F223" s="364"/>
      <c r="G223" s="572"/>
      <c r="H223" s="572"/>
      <c r="I223" s="572"/>
      <c r="K223" s="448"/>
      <c r="L223" s="572"/>
      <c r="M223" s="572"/>
    </row>
    <row r="224" spans="2:13" ht="7.5" customHeight="1">
      <c r="B224" s="364"/>
      <c r="D224" s="364"/>
      <c r="E224" s="364"/>
      <c r="F224" s="364"/>
      <c r="G224" s="572"/>
      <c r="H224" s="572"/>
      <c r="I224" s="572"/>
      <c r="K224" s="448"/>
      <c r="L224" s="572"/>
      <c r="M224" s="572"/>
    </row>
    <row r="225" spans="1:13" ht="16.5" customHeight="1">
      <c r="A225" s="513" t="s">
        <v>1161</v>
      </c>
      <c r="B225" s="808" t="s">
        <v>1162</v>
      </c>
      <c r="C225" s="808"/>
      <c r="D225" s="808"/>
      <c r="E225" s="808"/>
      <c r="F225" s="808"/>
      <c r="G225" s="808"/>
      <c r="H225" s="808"/>
      <c r="I225" s="808"/>
      <c r="K225" s="448"/>
      <c r="L225" s="572"/>
      <c r="M225" s="572"/>
    </row>
    <row r="226" spans="1:13" ht="5.25" customHeight="1">
      <c r="A226" s="353"/>
      <c r="K226" s="448"/>
      <c r="L226" s="572"/>
      <c r="M226" s="572"/>
    </row>
    <row r="227" spans="1:13" ht="15">
      <c r="A227" s="353"/>
      <c r="B227" s="808" t="s">
        <v>1163</v>
      </c>
      <c r="C227" s="808"/>
      <c r="D227" s="808" t="s">
        <v>1164</v>
      </c>
      <c r="E227" s="808"/>
      <c r="F227" s="618"/>
      <c r="G227" s="808" t="s">
        <v>62</v>
      </c>
      <c r="H227" s="808"/>
      <c r="I227" s="808"/>
      <c r="K227" s="448"/>
      <c r="L227" s="572"/>
      <c r="M227" s="572"/>
    </row>
    <row r="228" spans="1:13" ht="32.25" customHeight="1">
      <c r="A228" s="353"/>
      <c r="B228" s="808"/>
      <c r="C228" s="808"/>
      <c r="D228" s="496" t="s">
        <v>1081</v>
      </c>
      <c r="E228" s="496" t="s">
        <v>926</v>
      </c>
      <c r="F228" s="619"/>
      <c r="G228" s="621" t="s">
        <v>1081</v>
      </c>
      <c r="H228" s="497"/>
      <c r="I228" s="620" t="s">
        <v>926</v>
      </c>
      <c r="K228" s="448"/>
      <c r="L228" s="572"/>
      <c r="M228" s="572"/>
    </row>
    <row r="229" spans="1:13" ht="16.5" customHeight="1">
      <c r="B229" s="808" t="s">
        <v>1165</v>
      </c>
      <c r="C229" s="808"/>
      <c r="D229" s="562">
        <v>11875</v>
      </c>
      <c r="E229" s="562">
        <v>13068</v>
      </c>
      <c r="G229" s="592">
        <v>1412327</v>
      </c>
      <c r="H229" s="593"/>
      <c r="I229" s="527">
        <v>1609519</v>
      </c>
      <c r="K229" s="448"/>
      <c r="L229" s="572"/>
      <c r="M229" s="572"/>
    </row>
    <row r="230" spans="1:13" ht="16.5" customHeight="1">
      <c r="B230" s="808" t="s">
        <v>1166</v>
      </c>
      <c r="C230" s="808"/>
      <c r="D230" s="591">
        <v>3827</v>
      </c>
      <c r="E230" s="591">
        <v>4305</v>
      </c>
      <c r="G230" s="592">
        <v>6094338</v>
      </c>
      <c r="H230" s="593"/>
      <c r="I230" s="527">
        <v>6593385</v>
      </c>
      <c r="K230" s="448"/>
      <c r="L230" s="572"/>
      <c r="M230" s="572"/>
    </row>
    <row r="231" spans="1:13" ht="16.5" customHeight="1">
      <c r="B231" s="808" t="s">
        <v>1167</v>
      </c>
      <c r="C231" s="808"/>
      <c r="D231" s="591">
        <v>373</v>
      </c>
      <c r="E231" s="591">
        <v>350</v>
      </c>
      <c r="G231" s="592">
        <v>2745645</v>
      </c>
      <c r="H231" s="593"/>
      <c r="I231" s="527">
        <v>2501322</v>
      </c>
      <c r="K231" s="448"/>
      <c r="L231" s="572"/>
      <c r="M231" s="572"/>
    </row>
    <row r="232" spans="1:13" ht="16.5" customHeight="1">
      <c r="B232" s="808" t="s">
        <v>1168</v>
      </c>
      <c r="C232" s="808"/>
      <c r="D232" s="591">
        <v>200</v>
      </c>
      <c r="E232" s="591">
        <v>160</v>
      </c>
      <c r="G232" s="592">
        <v>2811130</v>
      </c>
      <c r="H232" s="593"/>
      <c r="I232" s="527">
        <v>2236718</v>
      </c>
      <c r="K232" s="448"/>
      <c r="L232" s="572"/>
      <c r="M232" s="572"/>
    </row>
    <row r="233" spans="1:13" ht="16.5" customHeight="1">
      <c r="B233" s="808" t="s">
        <v>1169</v>
      </c>
      <c r="C233" s="808"/>
      <c r="D233" s="591">
        <v>71</v>
      </c>
      <c r="E233" s="591">
        <v>48</v>
      </c>
      <c r="G233" s="592">
        <v>1856982</v>
      </c>
      <c r="H233" s="593"/>
      <c r="I233" s="527">
        <v>1174638</v>
      </c>
      <c r="K233" s="448"/>
      <c r="L233" s="572"/>
      <c r="M233" s="572"/>
    </row>
    <row r="234" spans="1:13" ht="16.5" customHeight="1">
      <c r="B234" s="808" t="s">
        <v>1170</v>
      </c>
      <c r="C234" s="808"/>
      <c r="D234" s="591">
        <v>29</v>
      </c>
      <c r="E234" s="591">
        <v>29</v>
      </c>
      <c r="G234" s="592">
        <v>1017205</v>
      </c>
      <c r="H234" s="593"/>
      <c r="I234" s="527">
        <v>961835</v>
      </c>
      <c r="K234" s="448"/>
      <c r="L234" s="572"/>
      <c r="M234" s="572"/>
    </row>
    <row r="235" spans="1:13" ht="16.5" customHeight="1">
      <c r="B235" s="808" t="s">
        <v>1171</v>
      </c>
      <c r="C235" s="808"/>
      <c r="D235" s="591">
        <v>25</v>
      </c>
      <c r="E235" s="591">
        <v>21</v>
      </c>
      <c r="G235" s="592">
        <v>1130214</v>
      </c>
      <c r="H235" s="593"/>
      <c r="I235" s="527">
        <v>943485</v>
      </c>
      <c r="K235" s="448"/>
      <c r="L235" s="572"/>
      <c r="M235" s="572"/>
    </row>
    <row r="236" spans="1:13" ht="16.5" customHeight="1">
      <c r="B236" s="808" t="s">
        <v>1172</v>
      </c>
      <c r="C236" s="808"/>
      <c r="D236" s="591">
        <v>51</v>
      </c>
      <c r="E236" s="591">
        <v>33</v>
      </c>
      <c r="G236" s="592">
        <v>3697312</v>
      </c>
      <c r="H236" s="593"/>
      <c r="I236" s="527">
        <v>2398634</v>
      </c>
      <c r="K236" s="448"/>
      <c r="L236" s="572"/>
      <c r="M236" s="572"/>
    </row>
    <row r="237" spans="1:13" ht="16.5" customHeight="1">
      <c r="B237" s="808" t="s">
        <v>1173</v>
      </c>
      <c r="C237" s="808"/>
      <c r="D237" s="591">
        <v>48</v>
      </c>
      <c r="E237" s="591">
        <v>41</v>
      </c>
      <c r="G237" s="592">
        <v>12740830</v>
      </c>
      <c r="H237" s="593"/>
      <c r="I237" s="527">
        <v>11130335</v>
      </c>
      <c r="K237" s="448"/>
      <c r="L237" s="572"/>
      <c r="M237" s="572"/>
    </row>
    <row r="238" spans="1:13" ht="16.5" customHeight="1">
      <c r="B238" s="808" t="s">
        <v>1174</v>
      </c>
      <c r="C238" s="808"/>
      <c r="D238" s="563">
        <v>5</v>
      </c>
      <c r="E238" s="563">
        <v>5</v>
      </c>
      <c r="G238" s="594">
        <v>131399527</v>
      </c>
      <c r="H238" s="595"/>
      <c r="I238" s="527">
        <v>135355639</v>
      </c>
      <c r="K238" s="448"/>
      <c r="L238" s="572"/>
      <c r="M238" s="572"/>
    </row>
    <row r="239" spans="1:13" ht="16.5" customHeight="1" thickBot="1">
      <c r="B239" s="596"/>
      <c r="C239" s="597"/>
      <c r="D239" s="498">
        <f>SUM(D229:D238)</f>
        <v>16504</v>
      </c>
      <c r="E239" s="498">
        <f>SUM(E229:E238)</f>
        <v>18060</v>
      </c>
      <c r="G239" s="808">
        <f>SUM(G229:G238)</f>
        <v>164905510</v>
      </c>
      <c r="H239" s="808"/>
      <c r="I239" s="598">
        <f>SUM(I229:I238)</f>
        <v>164905510</v>
      </c>
      <c r="K239" s="448"/>
      <c r="L239" s="572"/>
      <c r="M239" s="572"/>
    </row>
    <row r="240" spans="1:13" ht="16.5" customHeight="1" thickTop="1">
      <c r="A240" s="353"/>
      <c r="K240" s="448"/>
      <c r="L240" s="572"/>
      <c r="M240" s="572"/>
    </row>
    <row r="241" spans="1:13" ht="16.5" customHeight="1">
      <c r="A241" s="353"/>
      <c r="B241" s="373" t="s">
        <v>1183</v>
      </c>
      <c r="C241" s="373"/>
      <c r="D241" s="373"/>
      <c r="E241" s="373"/>
      <c r="F241" s="373"/>
      <c r="G241" s="373"/>
      <c r="H241" s="373"/>
      <c r="I241" s="373"/>
      <c r="K241" s="448"/>
      <c r="L241" s="572"/>
      <c r="M241" s="572"/>
    </row>
    <row r="242" spans="1:13" ht="16.5" customHeight="1">
      <c r="A242" s="353"/>
      <c r="B242" s="819" t="s">
        <v>1187</v>
      </c>
      <c r="C242" s="819"/>
      <c r="D242" s="819"/>
      <c r="E242" s="819"/>
      <c r="F242" s="819"/>
      <c r="G242" s="819"/>
      <c r="H242" s="819"/>
      <c r="I242" s="819"/>
      <c r="K242" s="448"/>
      <c r="L242" s="572"/>
      <c r="M242" s="572"/>
    </row>
    <row r="243" spans="1:13" ht="16.5" customHeight="1">
      <c r="A243" s="353"/>
      <c r="B243" s="819"/>
      <c r="C243" s="819"/>
      <c r="D243" s="819"/>
      <c r="E243" s="819"/>
      <c r="F243" s="819"/>
      <c r="G243" s="819"/>
      <c r="H243" s="819"/>
      <c r="I243" s="819"/>
      <c r="K243" s="448"/>
      <c r="L243" s="572"/>
      <c r="M243" s="572"/>
    </row>
    <row r="244" spans="1:13" ht="16.5" customHeight="1">
      <c r="A244" s="353"/>
      <c r="B244" s="819"/>
      <c r="C244" s="819"/>
      <c r="D244" s="819"/>
      <c r="E244" s="819"/>
      <c r="F244" s="819"/>
      <c r="G244" s="819"/>
      <c r="H244" s="819"/>
      <c r="I244" s="819"/>
      <c r="K244" s="448"/>
      <c r="L244" s="572"/>
      <c r="M244" s="572"/>
    </row>
    <row r="245" spans="1:13" ht="16.5" customHeight="1">
      <c r="A245" s="353"/>
      <c r="B245" s="819"/>
      <c r="C245" s="819"/>
      <c r="D245" s="819"/>
      <c r="E245" s="819"/>
      <c r="F245" s="819"/>
      <c r="G245" s="819"/>
      <c r="H245" s="819"/>
      <c r="I245" s="819"/>
      <c r="K245" s="448"/>
      <c r="L245" s="572"/>
      <c r="M245" s="572"/>
    </row>
    <row r="246" spans="1:13" ht="16.5" customHeight="1" thickBot="1">
      <c r="A246" s="499">
        <v>11</v>
      </c>
      <c r="B246" s="353" t="s">
        <v>786</v>
      </c>
      <c r="C246" s="364"/>
      <c r="D246" s="364"/>
      <c r="E246" s="364"/>
      <c r="F246" s="364"/>
      <c r="G246" s="529">
        <v>1660000000</v>
      </c>
      <c r="H246" s="364"/>
      <c r="I246" s="529">
        <v>1660000000</v>
      </c>
      <c r="J246" s="364"/>
      <c r="K246" s="502"/>
      <c r="L246" s="572"/>
      <c r="M246" s="572"/>
    </row>
    <row r="247" spans="1:13" ht="15.75" thickTop="1">
      <c r="B247" s="373"/>
      <c r="C247" s="373"/>
      <c r="D247" s="373"/>
      <c r="E247" s="373"/>
      <c r="F247" s="373"/>
      <c r="G247" s="373"/>
      <c r="H247" s="373"/>
      <c r="I247" s="373"/>
      <c r="J247" s="373"/>
      <c r="K247" s="373"/>
      <c r="L247" s="502"/>
      <c r="M247" s="502"/>
    </row>
    <row r="248" spans="1:13" ht="16.5" customHeight="1">
      <c r="B248" s="819" t="s">
        <v>980</v>
      </c>
      <c r="C248" s="819"/>
      <c r="D248" s="819"/>
      <c r="E248" s="819"/>
      <c r="F248" s="819"/>
      <c r="G248" s="819"/>
      <c r="H248" s="819"/>
      <c r="I248" s="819"/>
      <c r="J248" s="819"/>
      <c r="K248" s="819"/>
      <c r="L248" s="373"/>
      <c r="M248" s="373"/>
    </row>
    <row r="249" spans="1:13" ht="16.5" customHeight="1">
      <c r="B249" s="819"/>
      <c r="C249" s="819"/>
      <c r="D249" s="819"/>
      <c r="E249" s="819"/>
      <c r="F249" s="819"/>
      <c r="G249" s="819"/>
      <c r="H249" s="819"/>
      <c r="I249" s="819"/>
      <c r="J249" s="819"/>
      <c r="K249" s="819"/>
      <c r="L249" s="441"/>
      <c r="M249" s="441"/>
    </row>
    <row r="250" spans="1:13" ht="16.5" customHeight="1">
      <c r="B250" s="819"/>
      <c r="C250" s="819"/>
      <c r="D250" s="819"/>
      <c r="E250" s="819"/>
      <c r="F250" s="819"/>
      <c r="G250" s="819"/>
      <c r="H250" s="819"/>
      <c r="I250" s="819"/>
      <c r="J250" s="819"/>
      <c r="K250" s="819"/>
      <c r="L250" s="441"/>
      <c r="M250" s="441"/>
    </row>
    <row r="251" spans="1:13" ht="16.5" customHeight="1">
      <c r="B251" s="819"/>
      <c r="C251" s="819"/>
      <c r="D251" s="819"/>
      <c r="E251" s="819"/>
      <c r="F251" s="819"/>
      <c r="G251" s="819"/>
      <c r="H251" s="819"/>
      <c r="I251" s="819"/>
      <c r="J251" s="819"/>
      <c r="K251" s="819"/>
      <c r="L251" s="441"/>
      <c r="M251" s="441"/>
    </row>
    <row r="252" spans="1:13" ht="15">
      <c r="B252" s="819"/>
      <c r="C252" s="819"/>
      <c r="D252" s="819"/>
      <c r="E252" s="819"/>
      <c r="F252" s="819"/>
      <c r="G252" s="819"/>
      <c r="H252" s="819"/>
      <c r="I252" s="819"/>
      <c r="J252" s="819"/>
      <c r="K252" s="819"/>
      <c r="L252" s="441"/>
      <c r="M252" s="441"/>
    </row>
    <row r="253" spans="1:13" ht="16.5" customHeight="1" thickBot="1">
      <c r="A253" s="369">
        <v>12</v>
      </c>
      <c r="B253" s="364" t="s">
        <v>27</v>
      </c>
      <c r="C253" s="364"/>
      <c r="D253" s="364"/>
      <c r="E253" s="364"/>
      <c r="F253" s="364"/>
      <c r="G253" s="529">
        <v>723293759</v>
      </c>
      <c r="H253" s="364"/>
      <c r="I253" s="529">
        <v>723293759</v>
      </c>
      <c r="J253" s="364"/>
      <c r="K253" s="364"/>
      <c r="L253" s="373"/>
      <c r="M253" s="373"/>
    </row>
    <row r="254" spans="1:13" ht="7.5" customHeight="1" thickTop="1">
      <c r="A254" s="364"/>
      <c r="B254" s="364"/>
      <c r="C254" s="364"/>
      <c r="D254" s="364"/>
      <c r="E254" s="364"/>
      <c r="F254" s="364"/>
      <c r="G254" s="364"/>
      <c r="H254" s="364"/>
      <c r="I254" s="364"/>
      <c r="J254" s="364"/>
      <c r="K254" s="364"/>
      <c r="L254" s="364"/>
      <c r="M254" s="364"/>
    </row>
    <row r="255" spans="1:13" ht="16.5" customHeight="1">
      <c r="A255" s="364"/>
      <c r="B255" s="819" t="s">
        <v>1219</v>
      </c>
      <c r="C255" s="819"/>
      <c r="D255" s="819"/>
      <c r="E255" s="819"/>
      <c r="F255" s="819"/>
      <c r="G255" s="819"/>
      <c r="H255" s="819"/>
      <c r="I255" s="819"/>
      <c r="J255" s="819"/>
      <c r="K255" s="819"/>
      <c r="L255" s="364"/>
      <c r="M255" s="364"/>
    </row>
    <row r="256" spans="1:13" ht="16.5" customHeight="1">
      <c r="A256" s="364"/>
      <c r="B256" s="819"/>
      <c r="C256" s="819"/>
      <c r="D256" s="819"/>
      <c r="E256" s="819"/>
      <c r="F256" s="819"/>
      <c r="G256" s="819"/>
      <c r="H256" s="819"/>
      <c r="I256" s="819"/>
      <c r="J256" s="819"/>
      <c r="K256" s="819"/>
      <c r="L256" s="409"/>
      <c r="M256" s="409"/>
    </row>
    <row r="257" spans="1:13" ht="21" customHeight="1">
      <c r="A257" s="364"/>
      <c r="B257" s="819"/>
      <c r="C257" s="819"/>
      <c r="D257" s="819"/>
      <c r="E257" s="819"/>
      <c r="F257" s="819"/>
      <c r="G257" s="819"/>
      <c r="H257" s="819"/>
      <c r="I257" s="819"/>
      <c r="J257" s="819"/>
      <c r="K257" s="819"/>
      <c r="L257" s="409"/>
      <c r="M257" s="409"/>
    </row>
    <row r="258" spans="1:13" ht="21" customHeight="1">
      <c r="A258" s="364"/>
      <c r="B258" s="509"/>
      <c r="C258" s="509"/>
      <c r="D258" s="509"/>
      <c r="E258" s="509"/>
      <c r="F258" s="509"/>
      <c r="G258" s="509"/>
      <c r="H258" s="509"/>
      <c r="I258" s="509"/>
      <c r="J258" s="509"/>
      <c r="K258" s="509"/>
      <c r="L258" s="409"/>
      <c r="M258" s="409"/>
    </row>
    <row r="259" spans="1:13" ht="16.5" customHeight="1">
      <c r="A259" s="369">
        <v>13</v>
      </c>
      <c r="B259" s="364" t="s">
        <v>3</v>
      </c>
      <c r="C259" s="364"/>
      <c r="D259" s="364"/>
      <c r="E259" s="364"/>
      <c r="F259" s="364"/>
      <c r="G259" s="364"/>
      <c r="H259" s="364"/>
      <c r="I259" s="364"/>
      <c r="J259" s="364"/>
      <c r="K259" s="502"/>
      <c r="L259" s="419"/>
      <c r="M259" s="419"/>
    </row>
    <row r="260" spans="1:13" ht="3.75" customHeight="1">
      <c r="A260" s="364"/>
      <c r="B260" s="364"/>
      <c r="C260" s="364"/>
      <c r="D260" s="364"/>
      <c r="E260" s="364"/>
      <c r="F260" s="364"/>
      <c r="G260" s="364"/>
      <c r="H260" s="364"/>
      <c r="I260" s="364"/>
      <c r="J260" s="364"/>
      <c r="K260" s="364"/>
      <c r="L260" s="419"/>
      <c r="M260" s="419"/>
    </row>
    <row r="261" spans="1:13" ht="16.5" customHeight="1">
      <c r="A261" s="364"/>
      <c r="B261" s="364" t="s">
        <v>159</v>
      </c>
      <c r="C261" s="364"/>
      <c r="D261" s="364"/>
      <c r="E261" s="364"/>
      <c r="F261" s="364"/>
      <c r="G261" s="526">
        <f>I263</f>
        <v>706977179.5</v>
      </c>
      <c r="H261" s="364"/>
      <c r="I261" s="526">
        <f>662947521.45</f>
        <v>662947521.45000005</v>
      </c>
      <c r="J261" s="364"/>
      <c r="K261" s="364"/>
      <c r="L261" s="419"/>
      <c r="M261" s="419"/>
    </row>
    <row r="262" spans="1:13" ht="16.5" customHeight="1">
      <c r="A262" s="364"/>
      <c r="B262" s="364" t="s">
        <v>1128</v>
      </c>
      <c r="C262" s="364"/>
      <c r="D262" s="364"/>
      <c r="E262" s="512"/>
      <c r="F262" s="364"/>
      <c r="G262" s="514" t="e">
        <f>#REF!</f>
        <v>#REF!</v>
      </c>
      <c r="H262" s="364"/>
      <c r="I262" s="514">
        <f>44029659-0.45</f>
        <v>44029658.549999997</v>
      </c>
      <c r="J262" s="364"/>
      <c r="K262" s="364"/>
      <c r="L262" s="419"/>
      <c r="M262" s="419"/>
    </row>
    <row r="263" spans="1:13" ht="16.5" customHeight="1" thickBot="1">
      <c r="A263" s="364"/>
      <c r="B263" s="364"/>
      <c r="C263" s="364"/>
      <c r="D263" s="364"/>
      <c r="E263" s="364"/>
      <c r="F263" s="364"/>
      <c r="G263" s="522" t="e">
        <f>SUM(G261:G262)</f>
        <v>#REF!</v>
      </c>
      <c r="H263" s="364"/>
      <c r="I263" s="522">
        <f>SUM(I261:I262)-0.5</f>
        <v>706977179.5</v>
      </c>
      <c r="J263" s="364"/>
      <c r="K263" s="364"/>
      <c r="L263" s="419"/>
      <c r="M263" s="419"/>
    </row>
    <row r="264" spans="1:13" ht="16.5" customHeight="1" thickTop="1">
      <c r="A264" s="364"/>
      <c r="B264" s="364"/>
      <c r="C264" s="364"/>
      <c r="D264" s="364"/>
      <c r="E264" s="364"/>
      <c r="F264" s="364"/>
      <c r="G264" s="448"/>
      <c r="H264" s="364"/>
      <c r="I264" s="364"/>
      <c r="J264" s="364"/>
      <c r="K264" s="364"/>
      <c r="L264" s="419"/>
      <c r="M264" s="419"/>
    </row>
    <row r="265" spans="1:13" ht="16.5" customHeight="1">
      <c r="A265" s="513">
        <v>14</v>
      </c>
      <c r="B265" s="353" t="s">
        <v>4</v>
      </c>
      <c r="E265" s="448"/>
      <c r="L265" s="419"/>
      <c r="M265" s="419"/>
    </row>
    <row r="266" spans="1:13" ht="3.75" customHeight="1">
      <c r="A266" s="513"/>
      <c r="E266" s="448"/>
      <c r="L266" s="419"/>
      <c r="M266" s="419"/>
    </row>
    <row r="267" spans="1:13" ht="16.5" customHeight="1">
      <c r="A267" s="513"/>
      <c r="B267" s="364" t="s">
        <v>159</v>
      </c>
      <c r="C267" s="364"/>
      <c r="D267" s="364"/>
      <c r="E267" s="364"/>
      <c r="F267" s="364"/>
      <c r="G267" s="526">
        <f>I269</f>
        <v>336165684</v>
      </c>
      <c r="H267" s="364"/>
      <c r="I267" s="526">
        <v>336165684</v>
      </c>
      <c r="J267" s="364"/>
      <c r="K267" s="364"/>
      <c r="L267" s="419"/>
      <c r="M267" s="419"/>
    </row>
    <row r="268" spans="1:13" ht="16.5" customHeight="1">
      <c r="A268" s="513"/>
      <c r="B268" s="364" t="s">
        <v>839</v>
      </c>
      <c r="C268" s="364"/>
      <c r="D268" s="364"/>
      <c r="E268" s="512"/>
      <c r="F268" s="364"/>
      <c r="G268" s="514">
        <v>0</v>
      </c>
      <c r="H268" s="364"/>
      <c r="I268" s="514">
        <v>0</v>
      </c>
      <c r="J268" s="364"/>
      <c r="K268" s="364"/>
      <c r="L268" s="419"/>
      <c r="M268" s="419"/>
    </row>
    <row r="269" spans="1:13" ht="16.5" customHeight="1" thickBot="1">
      <c r="A269" s="513"/>
      <c r="B269" s="364"/>
      <c r="C269" s="364"/>
      <c r="D269" s="364"/>
      <c r="E269" s="364"/>
      <c r="F269" s="364"/>
      <c r="G269" s="522">
        <f>G267-G268</f>
        <v>336165684</v>
      </c>
      <c r="H269" s="364"/>
      <c r="I269" s="522">
        <f>I267-I268</f>
        <v>336165684</v>
      </c>
      <c r="J269" s="364"/>
      <c r="K269" s="364"/>
      <c r="L269" s="419"/>
      <c r="M269" s="419"/>
    </row>
    <row r="270" spans="1:13" ht="12" customHeight="1" thickTop="1">
      <c r="A270" s="513"/>
      <c r="B270" s="364"/>
      <c r="C270" s="364"/>
      <c r="D270" s="364"/>
      <c r="E270" s="364"/>
      <c r="F270" s="364"/>
      <c r="G270" s="364"/>
      <c r="H270" s="364"/>
      <c r="I270" s="364"/>
      <c r="J270" s="364"/>
      <c r="K270" s="364"/>
      <c r="L270" s="419"/>
      <c r="M270" s="419"/>
    </row>
    <row r="271" spans="1:13" ht="16.5" customHeight="1">
      <c r="B271" s="819" t="s">
        <v>850</v>
      </c>
      <c r="C271" s="819"/>
      <c r="D271" s="819"/>
      <c r="E271" s="819"/>
      <c r="F271" s="819"/>
      <c r="G271" s="819"/>
      <c r="H271" s="819"/>
      <c r="I271" s="819"/>
      <c r="J271" s="819"/>
      <c r="K271" s="819"/>
      <c r="L271" s="419"/>
      <c r="M271" s="419"/>
    </row>
    <row r="272" spans="1:13" ht="16.5" customHeight="1">
      <c r="B272" s="819"/>
      <c r="C272" s="819"/>
      <c r="D272" s="819"/>
      <c r="E272" s="819"/>
      <c r="F272" s="819"/>
      <c r="G272" s="819"/>
      <c r="H272" s="819"/>
      <c r="I272" s="819"/>
      <c r="J272" s="819"/>
      <c r="K272" s="819"/>
      <c r="L272" s="419"/>
      <c r="M272" s="419"/>
    </row>
    <row r="273" spans="1:14" ht="75" customHeight="1">
      <c r="B273" s="819"/>
      <c r="C273" s="819"/>
      <c r="D273" s="819"/>
      <c r="E273" s="819"/>
      <c r="F273" s="819"/>
      <c r="G273" s="819"/>
      <c r="H273" s="819"/>
      <c r="I273" s="819"/>
      <c r="J273" s="819"/>
      <c r="K273" s="819"/>
      <c r="L273" s="419"/>
      <c r="M273" s="419"/>
    </row>
    <row r="274" spans="1:14" ht="15">
      <c r="B274" s="72"/>
      <c r="C274" s="72"/>
      <c r="D274" s="72"/>
      <c r="E274" s="72"/>
      <c r="F274" s="72"/>
      <c r="G274" s="72"/>
      <c r="H274" s="72"/>
      <c r="I274" s="72"/>
      <c r="J274" s="72"/>
      <c r="K274" s="72"/>
      <c r="L274" s="419"/>
      <c r="M274" s="419"/>
    </row>
    <row r="275" spans="1:14" ht="16.5" customHeight="1">
      <c r="A275" s="513">
        <v>15</v>
      </c>
      <c r="B275" s="353" t="s">
        <v>699</v>
      </c>
      <c r="E275" s="448"/>
      <c r="K275" s="448"/>
      <c r="L275" s="419"/>
      <c r="M275" s="419"/>
    </row>
    <row r="276" spans="1:14" ht="3.75" customHeight="1">
      <c r="B276" s="508"/>
      <c r="C276" s="508"/>
      <c r="E276" s="599"/>
      <c r="K276" s="448"/>
      <c r="L276" s="419"/>
      <c r="M276" s="419"/>
    </row>
    <row r="277" spans="1:14" ht="16.5" customHeight="1">
      <c r="B277" s="420" t="s">
        <v>159</v>
      </c>
      <c r="C277" s="508"/>
      <c r="E277" s="599"/>
      <c r="G277" s="526">
        <f>I284</f>
        <v>808879808.45000005</v>
      </c>
      <c r="I277" s="526">
        <v>977535608</v>
      </c>
      <c r="K277" s="448"/>
      <c r="L277" s="419"/>
      <c r="M277" s="419"/>
    </row>
    <row r="278" spans="1:14" ht="16.5" customHeight="1">
      <c r="B278" s="420" t="s">
        <v>689</v>
      </c>
      <c r="C278" s="353" t="s">
        <v>1113</v>
      </c>
      <c r="E278" s="599"/>
      <c r="G278" s="527">
        <f>SOPL!H53</f>
        <v>171751625.04164717</v>
      </c>
      <c r="I278" s="527">
        <v>73260471</v>
      </c>
      <c r="K278" s="448"/>
      <c r="L278" s="419"/>
      <c r="M278" s="419"/>
      <c r="N278" s="353">
        <f>673108514.5-G278</f>
        <v>501356889.4583528</v>
      </c>
    </row>
    <row r="279" spans="1:14" ht="16.5" customHeight="1">
      <c r="B279" s="420"/>
      <c r="C279" s="508"/>
      <c r="E279" s="599"/>
      <c r="G279" s="524">
        <f>SUM(G277:G278)</f>
        <v>980631433.49164724</v>
      </c>
      <c r="I279" s="524">
        <f>SUM(I277:I278)</f>
        <v>1050796079</v>
      </c>
      <c r="K279" s="448"/>
      <c r="L279" s="419"/>
      <c r="M279" s="419"/>
    </row>
    <row r="280" spans="1:14" ht="16.5" customHeight="1">
      <c r="B280" s="420"/>
      <c r="C280" s="508"/>
      <c r="E280" s="599"/>
      <c r="G280" s="448"/>
      <c r="I280" s="448"/>
      <c r="K280" s="448"/>
      <c r="L280" s="419"/>
      <c r="M280" s="419"/>
    </row>
    <row r="281" spans="1:14" ht="16.5" customHeight="1">
      <c r="B281" s="364" t="s">
        <v>557</v>
      </c>
      <c r="C281" s="364" t="s">
        <v>1220</v>
      </c>
      <c r="E281" s="448"/>
      <c r="G281" s="526">
        <v>82452755</v>
      </c>
      <c r="I281" s="526">
        <v>197886612</v>
      </c>
      <c r="K281" s="448"/>
      <c r="L281" s="419"/>
      <c r="M281" s="419"/>
    </row>
    <row r="282" spans="1:14" ht="16.5" customHeight="1">
      <c r="A282" s="364"/>
      <c r="C282" s="364" t="s">
        <v>704</v>
      </c>
      <c r="D282" s="364"/>
      <c r="E282" s="364"/>
      <c r="F282" s="364"/>
      <c r="G282" s="514" t="e">
        <f>#REF!</f>
        <v>#REF!</v>
      </c>
      <c r="H282" s="364"/>
      <c r="I282" s="514">
        <f>I262</f>
        <v>44029658.549999997</v>
      </c>
      <c r="J282" s="364"/>
      <c r="K282" s="448"/>
      <c r="L282" s="419"/>
      <c r="M282" s="419"/>
    </row>
    <row r="283" spans="1:14" ht="16.5" customHeight="1">
      <c r="C283" s="364"/>
      <c r="G283" s="524" t="e">
        <f>SUM(G281:G282)</f>
        <v>#REF!</v>
      </c>
      <c r="I283" s="524">
        <f>SUM(I281:I282)</f>
        <v>241916270.55000001</v>
      </c>
      <c r="K283" s="448"/>
      <c r="L283" s="419"/>
      <c r="M283" s="419"/>
      <c r="N283" s="353" t="e">
        <f>144429823-G283</f>
        <v>#REF!</v>
      </c>
    </row>
    <row r="284" spans="1:14" ht="16.5" customHeight="1" thickBot="1">
      <c r="G284" s="522" t="e">
        <f>G279-G283</f>
        <v>#REF!</v>
      </c>
      <c r="I284" s="522">
        <f>I279-I283</f>
        <v>808879808.45000005</v>
      </c>
      <c r="K284" s="448"/>
      <c r="L284" s="419"/>
      <c r="M284" s="419"/>
    </row>
    <row r="285" spans="1:14" ht="15.75" thickTop="1">
      <c r="K285" s="448"/>
      <c r="L285" s="419"/>
      <c r="M285" s="419"/>
    </row>
    <row r="286" spans="1:14" ht="15">
      <c r="K286" s="448"/>
      <c r="L286" s="419"/>
      <c r="M286" s="419"/>
    </row>
    <row r="287" spans="1:14" ht="16.5" customHeight="1">
      <c r="A287" s="369">
        <v>16</v>
      </c>
      <c r="B287" s="364" t="s">
        <v>7</v>
      </c>
      <c r="C287" s="364"/>
      <c r="D287" s="364"/>
      <c r="E287" s="364"/>
      <c r="F287" s="364"/>
      <c r="G287" s="364"/>
      <c r="H287" s="364"/>
      <c r="I287" s="364"/>
      <c r="J287" s="364"/>
      <c r="K287" s="364"/>
      <c r="L287" s="373"/>
      <c r="M287" s="419"/>
    </row>
    <row r="288" spans="1:14" ht="0.75" customHeight="1">
      <c r="A288" s="364"/>
      <c r="B288" s="364"/>
      <c r="C288" s="364"/>
      <c r="D288" s="364"/>
      <c r="E288" s="364"/>
      <c r="F288" s="364"/>
      <c r="G288" s="364"/>
      <c r="H288" s="364"/>
      <c r="I288" s="364"/>
      <c r="J288" s="364"/>
      <c r="K288" s="364"/>
      <c r="L288" s="364"/>
      <c r="M288" s="419"/>
    </row>
    <row r="289" spans="1:13" ht="51" customHeight="1">
      <c r="A289" s="512"/>
      <c r="B289" s="819" t="s">
        <v>1217</v>
      </c>
      <c r="C289" s="819"/>
      <c r="D289" s="819"/>
      <c r="E289" s="819"/>
      <c r="F289" s="819"/>
      <c r="G289" s="819"/>
      <c r="H289" s="819"/>
      <c r="I289" s="819"/>
      <c r="J289" s="819"/>
      <c r="K289" s="819"/>
      <c r="L289" s="395"/>
      <c r="M289" s="419"/>
    </row>
    <row r="290" spans="1:13" ht="6.75" customHeight="1">
      <c r="A290" s="512"/>
      <c r="B290" s="395"/>
      <c r="C290" s="395"/>
      <c r="D290" s="395"/>
      <c r="E290" s="395"/>
      <c r="F290" s="395"/>
      <c r="G290" s="395"/>
      <c r="H290" s="395"/>
      <c r="I290" s="395"/>
      <c r="J290" s="395"/>
      <c r="K290" s="395"/>
      <c r="L290" s="395"/>
      <c r="M290" s="419"/>
    </row>
    <row r="291" spans="1:13" ht="31.5" customHeight="1">
      <c r="A291" s="512"/>
      <c r="B291" s="814" t="s">
        <v>753</v>
      </c>
      <c r="C291" s="814"/>
      <c r="D291" s="814"/>
      <c r="E291" s="512" t="s">
        <v>1201</v>
      </c>
      <c r="F291" s="364"/>
      <c r="G291" s="632" t="e">
        <f>I312</f>
        <v>#REF!</v>
      </c>
      <c r="H291" s="533"/>
      <c r="I291" s="632">
        <f>I334</f>
        <v>342815910.5</v>
      </c>
      <c r="J291" s="364"/>
      <c r="K291" s="364"/>
      <c r="L291" s="364"/>
      <c r="M291" s="419"/>
    </row>
    <row r="292" spans="1:13" ht="16.5" customHeight="1">
      <c r="A292" s="512"/>
      <c r="B292" s="814" t="s">
        <v>567</v>
      </c>
      <c r="C292" s="814"/>
      <c r="D292" s="814"/>
      <c r="E292" s="512" t="s">
        <v>1202</v>
      </c>
      <c r="F292" s="364"/>
      <c r="G292" s="543">
        <f>I344</f>
        <v>10396876.83</v>
      </c>
      <c r="H292" s="533"/>
      <c r="I292" s="543">
        <v>10396876.83</v>
      </c>
      <c r="J292" s="364"/>
      <c r="K292" s="364"/>
      <c r="L292" s="364"/>
      <c r="M292" s="419"/>
    </row>
    <row r="293" spans="1:13" ht="16.5" customHeight="1">
      <c r="A293" s="512"/>
      <c r="B293" s="814"/>
      <c r="C293" s="814"/>
      <c r="D293" s="814"/>
      <c r="E293" s="512"/>
      <c r="F293" s="364"/>
      <c r="G293" s="448"/>
      <c r="H293" s="364"/>
      <c r="I293" s="448"/>
      <c r="J293" s="364"/>
      <c r="K293" s="364"/>
      <c r="L293" s="364"/>
      <c r="M293" s="419"/>
    </row>
    <row r="294" spans="1:13" ht="16.5" customHeight="1" thickBot="1">
      <c r="A294" s="512"/>
      <c r="B294" s="364"/>
      <c r="C294" s="364"/>
      <c r="D294" s="364"/>
      <c r="E294" s="364"/>
      <c r="F294" s="364"/>
      <c r="G294" s="522" t="e">
        <f>SUM(G291:G292)</f>
        <v>#REF!</v>
      </c>
      <c r="H294" s="364"/>
      <c r="I294" s="522">
        <f>SUM(I291:I292)+0.25</f>
        <v>353212787.57999998</v>
      </c>
      <c r="J294" s="364"/>
      <c r="K294" s="364"/>
      <c r="L294" s="364"/>
      <c r="M294" s="419"/>
    </row>
    <row r="295" spans="1:13" ht="16.5" customHeight="1" thickTop="1">
      <c r="M295" s="419"/>
    </row>
    <row r="296" spans="1:13" ht="8.25" customHeight="1">
      <c r="M296" s="419"/>
    </row>
    <row r="297" spans="1:13" ht="16.5" hidden="1" customHeight="1">
      <c r="M297" s="419"/>
    </row>
    <row r="298" spans="1:13" ht="16.5" hidden="1" customHeight="1">
      <c r="M298" s="419"/>
    </row>
    <row r="299" spans="1:13" ht="16.5" customHeight="1">
      <c r="M299" s="419"/>
    </row>
    <row r="300" spans="1:13" ht="16.5" customHeight="1">
      <c r="M300" s="419"/>
    </row>
    <row r="301" spans="1:13" ht="16.5" customHeight="1">
      <c r="M301" s="419"/>
    </row>
    <row r="302" spans="1:13" ht="16.5" customHeight="1">
      <c r="A302" s="530">
        <v>16.100000000000001</v>
      </c>
      <c r="B302" s="364" t="s">
        <v>741</v>
      </c>
      <c r="C302" s="364"/>
      <c r="D302" s="364"/>
      <c r="E302" s="364"/>
      <c r="F302" s="364"/>
      <c r="G302" s="364"/>
      <c r="H302" s="364"/>
      <c r="I302" s="364"/>
      <c r="M302" s="419"/>
    </row>
    <row r="303" spans="1:13" ht="16.5" customHeight="1">
      <c r="A303" s="512"/>
      <c r="B303" s="364"/>
      <c r="C303" s="364"/>
      <c r="D303" s="364"/>
      <c r="E303" s="827" t="s">
        <v>552</v>
      </c>
      <c r="F303" s="269"/>
      <c r="G303" s="808" t="s">
        <v>554</v>
      </c>
      <c r="H303" s="269"/>
      <c r="I303" s="827" t="s">
        <v>1261</v>
      </c>
      <c r="M303" s="419"/>
    </row>
    <row r="304" spans="1:13" ht="45.75" customHeight="1">
      <c r="A304" s="512"/>
      <c r="B304" s="364"/>
      <c r="C304" s="364"/>
      <c r="D304" s="364"/>
      <c r="E304" s="828"/>
      <c r="F304" s="348"/>
      <c r="G304" s="808"/>
      <c r="H304" s="348"/>
      <c r="I304" s="828"/>
      <c r="M304" s="419"/>
    </row>
    <row r="305" spans="1:15" ht="16.5" customHeight="1">
      <c r="A305" s="512"/>
      <c r="B305" s="364"/>
      <c r="C305" s="364"/>
      <c r="D305" s="364"/>
      <c r="E305" s="622" t="s">
        <v>553</v>
      </c>
      <c r="F305" s="269"/>
      <c r="G305" s="623" t="s">
        <v>1</v>
      </c>
      <c r="H305" s="269"/>
      <c r="I305" s="622" t="s">
        <v>1</v>
      </c>
      <c r="M305" s="419"/>
    </row>
    <row r="306" spans="1:15" ht="16.5" customHeight="1">
      <c r="A306" s="512"/>
      <c r="B306" s="364" t="s">
        <v>1082</v>
      </c>
      <c r="C306" s="364"/>
      <c r="D306" s="364"/>
      <c r="E306" s="349"/>
      <c r="F306" s="349"/>
      <c r="G306" s="349"/>
      <c r="H306" s="349"/>
      <c r="I306" s="349"/>
      <c r="M306" s="419"/>
    </row>
    <row r="307" spans="1:15" ht="16.5" customHeight="1">
      <c r="A307" s="512"/>
      <c r="B307" s="814" t="s">
        <v>555</v>
      </c>
      <c r="C307" s="814"/>
      <c r="D307" s="829"/>
      <c r="E307" s="531" t="e">
        <f>#REF!</f>
        <v>#REF!</v>
      </c>
      <c r="F307" s="364"/>
      <c r="G307" s="531">
        <f>'Schedule-A(July-June-19)-Tax'!K53</f>
        <v>4276088081.7543592</v>
      </c>
      <c r="H307" s="364"/>
      <c r="I307" s="531" t="e">
        <f>E307-G307</f>
        <v>#REF!</v>
      </c>
      <c r="M307" s="419"/>
      <c r="O307" s="353" t="e">
        <f>I307-I329</f>
        <v>#REF!</v>
      </c>
    </row>
    <row r="308" spans="1:15" ht="16.5" customHeight="1">
      <c r="A308" s="364"/>
      <c r="B308" s="364" t="s">
        <v>556</v>
      </c>
      <c r="C308" s="364"/>
      <c r="D308" s="364"/>
      <c r="E308" s="527" t="e">
        <f>G42</f>
        <v>#REF!</v>
      </c>
      <c r="F308" s="364"/>
      <c r="G308" s="601">
        <f>G37</f>
        <v>2233381822.1099997</v>
      </c>
      <c r="H308" s="364"/>
      <c r="I308" s="601" t="e">
        <f>E308-G308</f>
        <v>#REF!</v>
      </c>
      <c r="M308" s="419"/>
      <c r="O308" s="353" t="e">
        <f>I308-I330</f>
        <v>#REF!</v>
      </c>
    </row>
    <row r="309" spans="1:15" ht="15">
      <c r="A309" s="364"/>
      <c r="B309" s="814" t="s">
        <v>742</v>
      </c>
      <c r="C309" s="814"/>
      <c r="D309" s="829"/>
      <c r="E309" s="514" t="e">
        <f>-G363</f>
        <v>#REF!</v>
      </c>
      <c r="F309" s="364"/>
      <c r="G309" s="532">
        <v>0</v>
      </c>
      <c r="H309" s="364"/>
      <c r="I309" s="532" t="e">
        <f>E309-G309</f>
        <v>#REF!</v>
      </c>
      <c r="M309" s="419"/>
      <c r="O309" s="353" t="e">
        <f>O307+O308</f>
        <v>#REF!</v>
      </c>
    </row>
    <row r="310" spans="1:15" ht="16.5" customHeight="1">
      <c r="A310" s="364"/>
      <c r="B310" s="364" t="s">
        <v>528</v>
      </c>
      <c r="C310" s="364"/>
      <c r="D310" s="364"/>
      <c r="E310" s="449"/>
      <c r="F310" s="364"/>
      <c r="G310" s="364"/>
      <c r="H310" s="364"/>
      <c r="I310" s="501" t="e">
        <f>SUM(I307:I309)</f>
        <v>#REF!</v>
      </c>
      <c r="M310" s="419"/>
      <c r="O310" s="353" t="e">
        <f>O309*0.25</f>
        <v>#REF!</v>
      </c>
    </row>
    <row r="311" spans="1:15" ht="16.5" customHeight="1">
      <c r="A311" s="364"/>
      <c r="B311" s="364" t="s">
        <v>108</v>
      </c>
      <c r="C311" s="364"/>
      <c r="D311" s="364"/>
      <c r="E311" s="449"/>
      <c r="F311" s="364"/>
      <c r="G311" s="364"/>
      <c r="H311" s="364"/>
      <c r="I311" s="602">
        <v>0.25</v>
      </c>
      <c r="M311" s="419"/>
    </row>
    <row r="312" spans="1:15" ht="16.5" customHeight="1" thickBot="1">
      <c r="A312" s="364"/>
      <c r="B312" s="364" t="s">
        <v>630</v>
      </c>
      <c r="C312" s="364"/>
      <c r="D312" s="364"/>
      <c r="E312" s="364"/>
      <c r="F312" s="364"/>
      <c r="G312" s="364"/>
      <c r="H312" s="364"/>
      <c r="I312" s="603" t="e">
        <f>I310*I311+0.7</f>
        <v>#REF!</v>
      </c>
      <c r="M312" s="419"/>
    </row>
    <row r="313" spans="1:15" ht="16.5" customHeight="1" thickTop="1">
      <c r="M313" s="419"/>
    </row>
    <row r="314" spans="1:15" s="364" customFormat="1" ht="18.75" customHeight="1">
      <c r="A314" s="530"/>
      <c r="B314" s="364" t="s">
        <v>567</v>
      </c>
      <c r="D314" s="419"/>
      <c r="E314" s="419"/>
      <c r="F314" s="419"/>
      <c r="G314" s="419"/>
      <c r="H314" s="419"/>
      <c r="I314" s="419"/>
      <c r="K314" s="419"/>
      <c r="L314" s="502"/>
    </row>
    <row r="315" spans="1:15" ht="16.5" customHeight="1">
      <c r="A315" s="364"/>
      <c r="B315" s="364"/>
      <c r="C315" s="364"/>
      <c r="D315" s="364"/>
      <c r="E315" s="364"/>
      <c r="F315" s="364"/>
      <c r="G315" s="364"/>
      <c r="H315" s="364"/>
      <c r="I315" s="364"/>
      <c r="K315" s="364"/>
      <c r="L315" s="364"/>
      <c r="M315" s="502"/>
    </row>
    <row r="316" spans="1:15" s="364" customFormat="1" ht="16.5" customHeight="1">
      <c r="D316" s="353"/>
      <c r="E316" s="827" t="s">
        <v>552</v>
      </c>
      <c r="F316" s="269"/>
      <c r="G316" s="808" t="s">
        <v>554</v>
      </c>
      <c r="H316" s="269"/>
      <c r="I316" s="827" t="s">
        <v>1261</v>
      </c>
      <c r="L316" s="502"/>
    </row>
    <row r="317" spans="1:15" s="364" customFormat="1" ht="48" customHeight="1">
      <c r="E317" s="828"/>
      <c r="F317" s="348"/>
      <c r="G317" s="808"/>
      <c r="H317" s="348"/>
      <c r="I317" s="828"/>
      <c r="L317" s="502"/>
      <c r="M317" s="502"/>
    </row>
    <row r="318" spans="1:15" s="364" customFormat="1" ht="15">
      <c r="B318" s="364" t="s">
        <v>1082</v>
      </c>
      <c r="E318" s="269"/>
      <c r="F318" s="348"/>
      <c r="G318" s="440"/>
      <c r="H318" s="348"/>
      <c r="I318" s="269"/>
      <c r="L318" s="502"/>
      <c r="M318" s="502"/>
    </row>
    <row r="319" spans="1:15" s="364" customFormat="1" ht="15">
      <c r="B319" s="809" t="s">
        <v>771</v>
      </c>
      <c r="C319" s="809"/>
      <c r="D319" s="809"/>
      <c r="E319" s="448">
        <v>346562561</v>
      </c>
      <c r="G319" s="448">
        <v>0</v>
      </c>
      <c r="I319" s="448">
        <v>346562561</v>
      </c>
      <c r="L319" s="502"/>
      <c r="M319" s="502"/>
    </row>
    <row r="320" spans="1:15" s="364" customFormat="1" ht="16.5" customHeight="1">
      <c r="B320" s="364" t="s">
        <v>108</v>
      </c>
      <c r="D320" s="448"/>
      <c r="E320" s="349"/>
      <c r="G320" s="604"/>
      <c r="I320" s="605">
        <v>0.03</v>
      </c>
      <c r="L320" s="502"/>
      <c r="M320" s="502"/>
    </row>
    <row r="321" spans="1:13" s="364" customFormat="1" ht="16.5" customHeight="1">
      <c r="A321" s="499"/>
      <c r="B321" s="364" t="s">
        <v>630</v>
      </c>
      <c r="D321" s="448"/>
      <c r="E321" s="349"/>
      <c r="F321" s="353"/>
      <c r="G321" s="448"/>
      <c r="H321" s="353"/>
      <c r="I321" s="524">
        <f>I319*I320</f>
        <v>10396876.83</v>
      </c>
      <c r="L321" s="502"/>
      <c r="M321" s="502"/>
    </row>
    <row r="322" spans="1:13" ht="16.5" customHeight="1">
      <c r="M322" s="419"/>
    </row>
    <row r="323" spans="1:13" ht="16.5" customHeight="1">
      <c r="M323" s="419"/>
    </row>
    <row r="324" spans="1:13" ht="16.5" customHeight="1">
      <c r="A324" s="530"/>
      <c r="B324" s="364" t="s">
        <v>741</v>
      </c>
      <c r="C324" s="364"/>
      <c r="D324" s="364"/>
      <c r="E324" s="364"/>
      <c r="F324" s="364"/>
      <c r="G324" s="364"/>
      <c r="H324" s="364"/>
      <c r="I324" s="364"/>
      <c r="J324" s="364"/>
      <c r="M324" s="419"/>
    </row>
    <row r="325" spans="1:13" ht="16.5" customHeight="1">
      <c r="A325" s="512"/>
      <c r="B325" s="364"/>
      <c r="C325" s="364"/>
      <c r="D325" s="364"/>
      <c r="E325" s="827" t="s">
        <v>552</v>
      </c>
      <c r="F325" s="269"/>
      <c r="G325" s="808" t="s">
        <v>554</v>
      </c>
      <c r="H325" s="269"/>
      <c r="I325" s="827" t="s">
        <v>1261</v>
      </c>
      <c r="M325" s="419"/>
    </row>
    <row r="326" spans="1:13" ht="46.5" customHeight="1">
      <c r="A326" s="512"/>
      <c r="B326" s="364"/>
      <c r="C326" s="364"/>
      <c r="D326" s="364"/>
      <c r="E326" s="828"/>
      <c r="F326" s="348"/>
      <c r="G326" s="808"/>
      <c r="H326" s="348"/>
      <c r="I326" s="828"/>
      <c r="M326" s="419"/>
    </row>
    <row r="327" spans="1:13" ht="16.5" customHeight="1">
      <c r="A327" s="512"/>
      <c r="B327" s="364"/>
      <c r="C327" s="364"/>
      <c r="D327" s="364"/>
      <c r="E327" s="600" t="s">
        <v>553</v>
      </c>
      <c r="F327" s="349"/>
      <c r="G327" s="493" t="s">
        <v>1</v>
      </c>
      <c r="H327" s="349"/>
      <c r="I327" s="600" t="s">
        <v>1</v>
      </c>
      <c r="M327" s="419"/>
    </row>
    <row r="328" spans="1:13" ht="16.5" customHeight="1">
      <c r="A328" s="512"/>
      <c r="B328" s="364" t="s">
        <v>925</v>
      </c>
      <c r="C328" s="364"/>
      <c r="D328" s="364"/>
      <c r="E328" s="349"/>
      <c r="F328" s="349"/>
      <c r="G328" s="349"/>
      <c r="H328" s="349"/>
      <c r="I328" s="349"/>
      <c r="M328" s="419"/>
    </row>
    <row r="329" spans="1:13" ht="16.5" customHeight="1">
      <c r="A329" s="512"/>
      <c r="B329" s="814" t="s">
        <v>555</v>
      </c>
      <c r="C329" s="814"/>
      <c r="D329" s="829"/>
      <c r="E329" s="531">
        <v>6798187930</v>
      </c>
      <c r="F329" s="364"/>
      <c r="G329" s="531">
        <v>5243729745</v>
      </c>
      <c r="H329" s="364"/>
      <c r="I329" s="531">
        <f>E329-G329</f>
        <v>1554458185</v>
      </c>
      <c r="M329" s="419"/>
    </row>
    <row r="330" spans="1:13" ht="16.5" customHeight="1">
      <c r="A330" s="364"/>
      <c r="B330" s="364" t="s">
        <v>556</v>
      </c>
      <c r="C330" s="364"/>
      <c r="D330" s="364"/>
      <c r="E330" s="527">
        <v>1618408865</v>
      </c>
      <c r="F330" s="364"/>
      <c r="G330" s="601">
        <v>1777847992</v>
      </c>
      <c r="H330" s="364"/>
      <c r="I330" s="601">
        <f>E330-G330-0.5</f>
        <v>-159439127.5</v>
      </c>
      <c r="M330" s="419"/>
    </row>
    <row r="331" spans="1:13" ht="15">
      <c r="A331" s="364"/>
      <c r="B331" s="814" t="s">
        <v>742</v>
      </c>
      <c r="C331" s="814"/>
      <c r="D331" s="829"/>
      <c r="E331" s="514">
        <v>-23755415</v>
      </c>
      <c r="F331" s="364"/>
      <c r="G331" s="532">
        <v>0</v>
      </c>
      <c r="H331" s="364"/>
      <c r="I331" s="532">
        <f>E331-G331</f>
        <v>-23755415</v>
      </c>
      <c r="M331" s="419"/>
    </row>
    <row r="332" spans="1:13" ht="16.5" customHeight="1">
      <c r="A332" s="364"/>
      <c r="B332" s="364" t="s">
        <v>528</v>
      </c>
      <c r="C332" s="364"/>
      <c r="D332" s="364"/>
      <c r="E332" s="449"/>
      <c r="F332" s="364"/>
      <c r="G332" s="364"/>
      <c r="H332" s="364"/>
      <c r="I332" s="501">
        <f>SUM(I329:I331)-0.5</f>
        <v>1371263642</v>
      </c>
      <c r="M332" s="419"/>
    </row>
    <row r="333" spans="1:13" ht="16.5" customHeight="1">
      <c r="A333" s="364"/>
      <c r="B333" s="364" t="s">
        <v>108</v>
      </c>
      <c r="C333" s="364"/>
      <c r="D333" s="364"/>
      <c r="E333" s="449"/>
      <c r="F333" s="364"/>
      <c r="G333" s="364"/>
      <c r="H333" s="364"/>
      <c r="I333" s="602">
        <v>0.25</v>
      </c>
      <c r="M333" s="419"/>
    </row>
    <row r="334" spans="1:13" ht="16.5" customHeight="1" thickBot="1">
      <c r="A334" s="364"/>
      <c r="B334" s="364" t="s">
        <v>630</v>
      </c>
      <c r="C334" s="364"/>
      <c r="D334" s="364"/>
      <c r="E334" s="364"/>
      <c r="F334" s="364"/>
      <c r="G334" s="364"/>
      <c r="H334" s="364"/>
      <c r="I334" s="603">
        <f>I332*I333</f>
        <v>342815910.5</v>
      </c>
      <c r="M334" s="419"/>
    </row>
    <row r="335" spans="1:13" ht="16.5" customHeight="1" thickTop="1">
      <c r="M335" s="419"/>
    </row>
    <row r="336" spans="1:13" ht="16.5" customHeight="1">
      <c r="M336" s="419"/>
    </row>
    <row r="337" spans="1:22" ht="16.5" customHeight="1">
      <c r="A337" s="530">
        <v>16.2</v>
      </c>
      <c r="B337" s="364" t="s">
        <v>567</v>
      </c>
      <c r="C337" s="364"/>
      <c r="D337" s="419"/>
      <c r="E337" s="419"/>
      <c r="F337" s="419"/>
      <c r="G337" s="419"/>
      <c r="H337" s="419"/>
      <c r="I337" s="419"/>
      <c r="J337" s="419"/>
      <c r="K337" s="419"/>
      <c r="M337" s="419"/>
    </row>
    <row r="338" spans="1:22" ht="5.25" customHeight="1">
      <c r="A338" s="364"/>
      <c r="B338" s="364"/>
      <c r="C338" s="364"/>
      <c r="D338" s="364"/>
      <c r="E338" s="364"/>
      <c r="F338" s="364"/>
      <c r="G338" s="364"/>
      <c r="H338" s="364"/>
      <c r="I338" s="364"/>
      <c r="J338" s="364"/>
      <c r="K338" s="364"/>
      <c r="M338" s="419"/>
    </row>
    <row r="339" spans="1:22" ht="16.5" customHeight="1">
      <c r="A339" s="364"/>
      <c r="B339" s="364"/>
      <c r="C339" s="364"/>
      <c r="E339" s="827" t="s">
        <v>552</v>
      </c>
      <c r="F339" s="269"/>
      <c r="G339" s="808" t="s">
        <v>554</v>
      </c>
      <c r="H339" s="269"/>
      <c r="I339" s="827" t="s">
        <v>1261</v>
      </c>
      <c r="K339" s="364"/>
      <c r="M339" s="419"/>
    </row>
    <row r="340" spans="1:22" ht="47.25" customHeight="1">
      <c r="A340" s="364"/>
      <c r="C340" s="364"/>
      <c r="D340" s="364"/>
      <c r="E340" s="828"/>
      <c r="F340" s="348"/>
      <c r="G340" s="808"/>
      <c r="H340" s="348"/>
      <c r="I340" s="828"/>
      <c r="K340" s="364"/>
      <c r="M340" s="419"/>
      <c r="N340" s="500">
        <v>273979419.21000004</v>
      </c>
    </row>
    <row r="341" spans="1:22" ht="15">
      <c r="A341" s="364"/>
      <c r="B341" s="364" t="s">
        <v>925</v>
      </c>
      <c r="C341" s="364"/>
      <c r="D341" s="364"/>
      <c r="E341" s="269"/>
      <c r="F341" s="348"/>
      <c r="G341" s="440"/>
      <c r="H341" s="348"/>
      <c r="I341" s="269"/>
      <c r="K341" s="364"/>
      <c r="M341" s="419"/>
      <c r="N341" s="516"/>
    </row>
    <row r="342" spans="1:22" ht="15">
      <c r="A342" s="364"/>
      <c r="B342" s="809" t="s">
        <v>771</v>
      </c>
      <c r="C342" s="809"/>
      <c r="D342" s="809"/>
      <c r="E342" s="448">
        <v>346562561</v>
      </c>
      <c r="F342" s="364"/>
      <c r="G342" s="448">
        <v>0</v>
      </c>
      <c r="H342" s="364"/>
      <c r="I342" s="448">
        <v>346562561</v>
      </c>
      <c r="K342" s="364"/>
      <c r="M342" s="419"/>
    </row>
    <row r="343" spans="1:22" ht="16.5" customHeight="1">
      <c r="A343" s="364"/>
      <c r="B343" s="364" t="s">
        <v>108</v>
      </c>
      <c r="C343" s="364"/>
      <c r="D343" s="448"/>
      <c r="E343" s="349"/>
      <c r="F343" s="364"/>
      <c r="G343" s="604"/>
      <c r="H343" s="364"/>
      <c r="I343" s="605">
        <v>0.03</v>
      </c>
      <c r="K343" s="364"/>
      <c r="M343" s="419"/>
    </row>
    <row r="344" spans="1:22" ht="16.5" customHeight="1">
      <c r="B344" s="364" t="s">
        <v>630</v>
      </c>
      <c r="C344" s="364"/>
      <c r="D344" s="448"/>
      <c r="E344" s="349"/>
      <c r="G344" s="448"/>
      <c r="I344" s="524">
        <f>I342*I343</f>
        <v>10396876.83</v>
      </c>
      <c r="K344" s="364"/>
      <c r="M344" s="419"/>
    </row>
    <row r="345" spans="1:22" ht="16.5" customHeight="1">
      <c r="A345" s="364"/>
      <c r="B345" s="364"/>
      <c r="C345" s="364"/>
      <c r="D345" s="364"/>
      <c r="E345" s="364"/>
      <c r="F345" s="364"/>
      <c r="G345" s="364"/>
      <c r="H345" s="364"/>
      <c r="I345" s="349"/>
      <c r="K345" s="364"/>
      <c r="M345" s="419"/>
    </row>
    <row r="346" spans="1:22" s="364" customFormat="1" ht="16.5" customHeight="1">
      <c r="L346" s="502"/>
      <c r="M346" s="502"/>
    </row>
    <row r="347" spans="1:22" s="364" customFormat="1" ht="16.5" customHeight="1">
      <c r="A347" s="369" t="s">
        <v>1146</v>
      </c>
      <c r="B347" s="265" t="s">
        <v>8</v>
      </c>
      <c r="C347" s="265"/>
      <c r="D347" s="265"/>
      <c r="E347" s="265"/>
      <c r="F347" s="265"/>
      <c r="G347" s="265"/>
      <c r="H347" s="265"/>
      <c r="I347" s="265"/>
      <c r="J347" s="265"/>
      <c r="K347" s="606"/>
      <c r="L347" s="353"/>
      <c r="M347" s="353"/>
    </row>
    <row r="348" spans="1:22" s="364" customFormat="1" ht="3.75" customHeight="1">
      <c r="M348" s="353"/>
    </row>
    <row r="349" spans="1:22" s="364" customFormat="1" ht="16.5" customHeight="1">
      <c r="B349" s="383" t="s">
        <v>178</v>
      </c>
      <c r="C349" s="383"/>
      <c r="D349" s="383"/>
      <c r="E349" s="383"/>
      <c r="F349" s="383"/>
      <c r="G349" s="526">
        <f>I353</f>
        <v>164005986.75</v>
      </c>
      <c r="H349" s="383"/>
      <c r="I349" s="526">
        <v>128503172.32999998</v>
      </c>
      <c r="J349" s="383"/>
      <c r="K349" s="383"/>
      <c r="L349" s="353"/>
      <c r="M349" s="353"/>
    </row>
    <row r="350" spans="1:22" s="364" customFormat="1" ht="16.5" customHeight="1">
      <c r="B350" s="383" t="s">
        <v>1109</v>
      </c>
      <c r="C350" s="383"/>
      <c r="D350" s="383"/>
      <c r="E350" s="383"/>
      <c r="F350" s="383"/>
      <c r="G350" s="514">
        <f>78888511.85+5231563.44+532072.8</f>
        <v>84652148.089999989</v>
      </c>
      <c r="H350" s="383"/>
      <c r="I350" s="514">
        <f>28177782.08+848706.9+9652033.86+14911475.09+1051077.5</f>
        <v>54641075.429999992</v>
      </c>
      <c r="J350" s="383"/>
      <c r="K350" s="383"/>
      <c r="L350" s="353"/>
      <c r="M350" s="353"/>
    </row>
    <row r="351" spans="1:22" s="364" customFormat="1" ht="16.5" customHeight="1">
      <c r="B351" s="383"/>
      <c r="C351" s="383"/>
      <c r="D351" s="383"/>
      <c r="E351" s="383"/>
      <c r="F351" s="383"/>
      <c r="G351" s="449">
        <f>SUM(G349:G350)</f>
        <v>248658134.83999997</v>
      </c>
      <c r="H351" s="383"/>
      <c r="I351" s="449">
        <f>SUM(I349:I350)</f>
        <v>183144247.75999999</v>
      </c>
      <c r="J351" s="383"/>
      <c r="K351" s="383"/>
      <c r="L351" s="353"/>
      <c r="M351" s="373"/>
      <c r="O351" s="449">
        <f>4214875.12+164005985</f>
        <v>168220860.12</v>
      </c>
    </row>
    <row r="352" spans="1:22" s="364" customFormat="1" ht="16.5" customHeight="1">
      <c r="B352" s="383" t="s">
        <v>1108</v>
      </c>
      <c r="C352" s="383"/>
      <c r="D352" s="383"/>
      <c r="E352" s="449"/>
      <c r="F352" s="383"/>
      <c r="G352" s="449">
        <f>24554474.5+1566230.47+2159000</f>
        <v>28279704.969999999</v>
      </c>
      <c r="H352" s="383"/>
      <c r="I352" s="449">
        <f>16486174.03+2567360.63+84726.25</f>
        <v>19138260.91</v>
      </c>
      <c r="J352" s="383"/>
      <c r="K352" s="383"/>
      <c r="L352" s="353"/>
      <c r="R352" s="364" t="s">
        <v>1213</v>
      </c>
      <c r="V352" s="449">
        <v>1566230.47</v>
      </c>
    </row>
    <row r="353" spans="1:22" s="364" customFormat="1" ht="16.5" customHeight="1" thickBot="1">
      <c r="A353" s="383"/>
      <c r="B353" s="383"/>
      <c r="C353" s="383"/>
      <c r="D353" s="383"/>
      <c r="E353" s="383"/>
      <c r="F353" s="383"/>
      <c r="G353" s="522">
        <f>G351-G352</f>
        <v>220378429.86999997</v>
      </c>
      <c r="H353" s="383"/>
      <c r="I353" s="522">
        <f>I351-I352-0.1</f>
        <v>164005986.75</v>
      </c>
      <c r="J353" s="383"/>
      <c r="K353" s="383"/>
      <c r="L353" s="353"/>
      <c r="M353" s="502"/>
      <c r="R353" s="364" t="s">
        <v>1214</v>
      </c>
      <c r="V353" s="449">
        <v>2159000</v>
      </c>
    </row>
    <row r="354" spans="1:22" s="364" customFormat="1" ht="6.75" customHeight="1" thickTop="1">
      <c r="A354" s="383"/>
      <c r="B354" s="383"/>
      <c r="C354" s="383"/>
      <c r="D354" s="383"/>
      <c r="E354" s="383"/>
      <c r="F354" s="383"/>
      <c r="G354" s="448"/>
      <c r="H354" s="383"/>
      <c r="I354" s="448"/>
      <c r="J354" s="383"/>
      <c r="K354" s="383"/>
      <c r="L354" s="353"/>
      <c r="M354" s="502"/>
    </row>
    <row r="355" spans="1:22" s="364" customFormat="1" ht="17.25" customHeight="1">
      <c r="A355" s="383"/>
      <c r="B355" s="383" t="s">
        <v>1246</v>
      </c>
      <c r="C355" s="383"/>
      <c r="D355" s="383"/>
      <c r="E355" s="383"/>
      <c r="F355" s="383"/>
      <c r="G355" s="448"/>
      <c r="H355" s="383"/>
      <c r="I355" s="448"/>
      <c r="J355" s="383"/>
      <c r="K355" s="383"/>
      <c r="L355" s="353"/>
      <c r="M355" s="502"/>
    </row>
    <row r="356" spans="1:22" s="364" customFormat="1" ht="17.25" customHeight="1">
      <c r="A356" s="383"/>
      <c r="B356" s="383"/>
      <c r="C356" s="383"/>
      <c r="D356" s="383"/>
      <c r="E356" s="383"/>
      <c r="F356" s="383"/>
      <c r="G356" s="448"/>
      <c r="H356" s="383"/>
      <c r="I356" s="448"/>
      <c r="J356" s="383"/>
      <c r="K356" s="383"/>
      <c r="L356" s="353"/>
      <c r="M356" s="502"/>
    </row>
    <row r="357" spans="1:22" s="364" customFormat="1" ht="15">
      <c r="A357" s="383"/>
      <c r="B357" s="383"/>
      <c r="C357" s="383"/>
      <c r="D357" s="383"/>
      <c r="E357" s="383"/>
      <c r="F357" s="383"/>
      <c r="G357" s="448"/>
      <c r="H357" s="383"/>
      <c r="I357" s="448"/>
      <c r="J357" s="383"/>
      <c r="K357" s="383"/>
      <c r="L357" s="353"/>
      <c r="M357" s="502"/>
    </row>
    <row r="358" spans="1:22" s="364" customFormat="1" ht="16.5" customHeight="1">
      <c r="A358" s="369" t="s">
        <v>801</v>
      </c>
      <c r="B358" s="353" t="s">
        <v>670</v>
      </c>
      <c r="C358" s="353"/>
      <c r="D358" s="353"/>
      <c r="E358" s="353"/>
      <c r="F358" s="353"/>
      <c r="G358" s="449"/>
      <c r="H358" s="353"/>
      <c r="I358" s="353"/>
      <c r="J358" s="353"/>
      <c r="K358" s="353"/>
      <c r="L358" s="373"/>
      <c r="M358" s="502"/>
    </row>
    <row r="359" spans="1:22" s="364" customFormat="1" ht="7.5" customHeight="1">
      <c r="G359" s="449"/>
    </row>
    <row r="360" spans="1:22" s="364" customFormat="1" ht="16.5" customHeight="1">
      <c r="B360" s="353" t="s">
        <v>119</v>
      </c>
      <c r="C360" s="353"/>
      <c r="E360" s="607" t="s">
        <v>1203</v>
      </c>
      <c r="F360" s="353"/>
      <c r="G360" s="359">
        <f>G366</f>
        <v>13808952</v>
      </c>
      <c r="H360" s="353"/>
      <c r="I360" s="359">
        <f>I366</f>
        <v>13808952</v>
      </c>
      <c r="J360" s="353"/>
      <c r="K360" s="353"/>
      <c r="L360" s="502"/>
      <c r="M360" s="502"/>
    </row>
    <row r="361" spans="1:22" s="364" customFormat="1" ht="16.5" customHeight="1">
      <c r="B361" s="353" t="s">
        <v>568</v>
      </c>
      <c r="C361" s="353"/>
      <c r="E361" s="607" t="s">
        <v>1204</v>
      </c>
      <c r="F361" s="353"/>
      <c r="G361" s="360" t="e">
        <f>G383</f>
        <v>#REF!</v>
      </c>
      <c r="H361" s="353"/>
      <c r="I361" s="360">
        <f>I383</f>
        <v>8019892</v>
      </c>
      <c r="J361" s="353"/>
      <c r="K361" s="353"/>
      <c r="L361" s="502"/>
      <c r="M361" s="502"/>
    </row>
    <row r="362" spans="1:22" s="364" customFormat="1" ht="16.5" customHeight="1">
      <c r="B362" s="353" t="s">
        <v>668</v>
      </c>
      <c r="E362" s="607" t="s">
        <v>1205</v>
      </c>
      <c r="G362" s="514">
        <f>G391</f>
        <v>2139943.0000000019</v>
      </c>
      <c r="I362" s="514">
        <f>I391</f>
        <v>1926571.3400000017</v>
      </c>
      <c r="M362" s="373"/>
      <c r="N362" s="449">
        <f>1069971.48+1069971.08</f>
        <v>2139942.56</v>
      </c>
    </row>
    <row r="363" spans="1:22" s="364" customFormat="1" ht="16.5" customHeight="1" thickBot="1">
      <c r="A363" s="353"/>
      <c r="B363" s="353"/>
      <c r="C363" s="353"/>
      <c r="D363" s="353"/>
      <c r="E363" s="353"/>
      <c r="F363" s="353"/>
      <c r="G363" s="415" t="e">
        <f>SUM(G360:G362)</f>
        <v>#REF!</v>
      </c>
      <c r="H363" s="353"/>
      <c r="I363" s="415">
        <f>SUM(I360:I362)</f>
        <v>23755415.340000004</v>
      </c>
      <c r="J363" s="353"/>
      <c r="K363" s="353"/>
      <c r="L363" s="502"/>
      <c r="M363" s="353"/>
    </row>
    <row r="364" spans="1:22" s="364" customFormat="1" ht="5.25" customHeight="1" thickTop="1">
      <c r="A364" s="353"/>
      <c r="B364" s="353"/>
      <c r="C364" s="353"/>
      <c r="D364" s="353"/>
      <c r="E364" s="353"/>
      <c r="F364" s="353"/>
      <c r="G364" s="353"/>
      <c r="H364" s="353"/>
      <c r="I364" s="353"/>
      <c r="J364" s="353"/>
      <c r="K364" s="353"/>
      <c r="L364" s="502"/>
      <c r="M364" s="72"/>
    </row>
    <row r="365" spans="1:22" s="364" customFormat="1" ht="16.5" customHeight="1">
      <c r="D365" s="353"/>
      <c r="E365" s="353"/>
      <c r="F365" s="353"/>
      <c r="H365" s="353"/>
      <c r="K365" s="353"/>
      <c r="L365" s="373"/>
      <c r="M365" s="72"/>
    </row>
    <row r="366" spans="1:22" s="364" customFormat="1" ht="16.5" customHeight="1" thickBot="1">
      <c r="A366" s="369">
        <v>18.100000000000001</v>
      </c>
      <c r="B366" s="353" t="s">
        <v>119</v>
      </c>
      <c r="C366" s="353"/>
      <c r="G366" s="608">
        <v>13808952</v>
      </c>
      <c r="I366" s="608">
        <v>13808952</v>
      </c>
      <c r="J366" s="353"/>
      <c r="L366" s="353"/>
      <c r="M366" s="72"/>
    </row>
    <row r="367" spans="1:22" s="364" customFormat="1" ht="4.5" customHeight="1" thickTop="1">
      <c r="A367" s="369"/>
      <c r="B367" s="353"/>
      <c r="C367" s="353"/>
      <c r="L367" s="353"/>
      <c r="M367" s="72"/>
    </row>
    <row r="368" spans="1:22" s="364" customFormat="1" ht="86.25" customHeight="1">
      <c r="B368" s="830" t="s">
        <v>785</v>
      </c>
      <c r="C368" s="830"/>
      <c r="D368" s="830"/>
      <c r="E368" s="830"/>
      <c r="F368" s="830"/>
      <c r="G368" s="830"/>
      <c r="H368" s="830"/>
      <c r="I368" s="830"/>
      <c r="J368" s="830"/>
      <c r="K368" s="830"/>
      <c r="L368" s="183"/>
      <c r="M368" s="72"/>
    </row>
    <row r="369" spans="1:15" s="364" customFormat="1" ht="6" customHeight="1">
      <c r="A369" s="183"/>
      <c r="B369" s="183"/>
      <c r="C369" s="183"/>
      <c r="D369" s="183"/>
      <c r="E369" s="183"/>
      <c r="F369" s="183"/>
      <c r="G369" s="183"/>
      <c r="H369" s="183"/>
      <c r="I369" s="183"/>
      <c r="J369" s="183"/>
      <c r="K369" s="183"/>
      <c r="L369" s="183"/>
    </row>
    <row r="370" spans="1:15" s="364" customFormat="1" ht="6" customHeight="1">
      <c r="A370" s="183"/>
      <c r="B370" s="183"/>
      <c r="C370" s="183"/>
      <c r="D370" s="183"/>
      <c r="E370" s="183"/>
      <c r="F370" s="183"/>
      <c r="G370" s="183"/>
      <c r="H370" s="183"/>
      <c r="I370" s="183"/>
      <c r="J370" s="183"/>
      <c r="K370" s="183"/>
      <c r="L370" s="183"/>
    </row>
    <row r="371" spans="1:15" s="364" customFormat="1" ht="6" customHeight="1">
      <c r="A371" s="183"/>
      <c r="B371" s="183"/>
      <c r="C371" s="183"/>
      <c r="D371" s="183"/>
      <c r="E371" s="183"/>
      <c r="F371" s="183"/>
      <c r="G371" s="183"/>
      <c r="H371" s="183"/>
      <c r="I371" s="183"/>
      <c r="J371" s="183"/>
      <c r="K371" s="183"/>
      <c r="L371" s="183"/>
    </row>
    <row r="372" spans="1:15" s="364" customFormat="1" ht="6" customHeight="1">
      <c r="A372" s="183"/>
      <c r="B372" s="183"/>
      <c r="C372" s="183"/>
      <c r="D372" s="183"/>
      <c r="E372" s="183"/>
      <c r="F372" s="183"/>
      <c r="G372" s="183"/>
      <c r="H372" s="183"/>
      <c r="I372" s="183"/>
      <c r="J372" s="183"/>
      <c r="K372" s="183"/>
      <c r="L372" s="183"/>
    </row>
    <row r="373" spans="1:15" s="364" customFormat="1" ht="6" customHeight="1">
      <c r="A373" s="183"/>
      <c r="B373" s="183"/>
      <c r="C373" s="183"/>
      <c r="D373" s="183"/>
      <c r="E373" s="183"/>
      <c r="F373" s="183"/>
      <c r="G373" s="183"/>
      <c r="H373" s="183"/>
      <c r="I373" s="183"/>
      <c r="J373" s="183"/>
      <c r="K373" s="183"/>
      <c r="L373" s="183"/>
    </row>
    <row r="374" spans="1:15" s="364" customFormat="1" ht="6" customHeight="1">
      <c r="A374" s="183"/>
      <c r="B374" s="183"/>
      <c r="C374" s="183"/>
      <c r="D374" s="183"/>
      <c r="E374" s="183"/>
      <c r="F374" s="183"/>
      <c r="G374" s="183"/>
      <c r="H374" s="183"/>
      <c r="I374" s="183"/>
      <c r="J374" s="183"/>
      <c r="K374" s="183"/>
      <c r="L374" s="183"/>
    </row>
    <row r="375" spans="1:15" s="364" customFormat="1" ht="6" customHeight="1">
      <c r="A375" s="183"/>
      <c r="B375" s="183"/>
      <c r="C375" s="183"/>
      <c r="D375" s="183"/>
      <c r="E375" s="183"/>
      <c r="F375" s="183"/>
      <c r="G375" s="183"/>
      <c r="H375" s="183"/>
      <c r="I375" s="183"/>
      <c r="J375" s="183"/>
      <c r="K375" s="183"/>
      <c r="L375" s="183"/>
    </row>
    <row r="376" spans="1:15" s="364" customFormat="1" ht="6" customHeight="1">
      <c r="A376" s="183"/>
      <c r="B376" s="183"/>
      <c r="C376" s="183"/>
      <c r="D376" s="183"/>
      <c r="E376" s="183"/>
      <c r="F376" s="183"/>
      <c r="G376" s="183"/>
      <c r="H376" s="183"/>
      <c r="I376" s="183"/>
      <c r="J376" s="183"/>
      <c r="K376" s="183"/>
      <c r="L376" s="183"/>
    </row>
    <row r="377" spans="1:15" s="364" customFormat="1" ht="16.5" customHeight="1">
      <c r="A377" s="369">
        <v>18.2</v>
      </c>
      <c r="B377" s="353" t="s">
        <v>568</v>
      </c>
      <c r="C377" s="353"/>
      <c r="D377" s="419"/>
      <c r="E377" s="419"/>
      <c r="F377" s="419"/>
      <c r="G377" s="419"/>
      <c r="H377" s="419"/>
      <c r="I377" s="419"/>
      <c r="J377" s="419"/>
      <c r="K377" s="419"/>
      <c r="M377" s="506"/>
    </row>
    <row r="378" spans="1:15" s="364" customFormat="1" ht="4.5" customHeight="1">
      <c r="A378" s="419"/>
      <c r="B378" s="419"/>
      <c r="C378" s="419"/>
      <c r="D378" s="419"/>
      <c r="E378" s="419"/>
      <c r="F378" s="419"/>
      <c r="G378" s="419"/>
      <c r="H378" s="419"/>
      <c r="I378" s="419"/>
      <c r="J378" s="419"/>
      <c r="K378" s="419"/>
      <c r="M378" s="506"/>
    </row>
    <row r="379" spans="1:15" s="364" customFormat="1" ht="16.5" customHeight="1">
      <c r="B379" s="420" t="s">
        <v>159</v>
      </c>
      <c r="C379" s="420"/>
      <c r="D379" s="420"/>
      <c r="E379" s="419"/>
      <c r="F379" s="419"/>
      <c r="G379" s="359">
        <f>I383</f>
        <v>8019892</v>
      </c>
      <c r="H379" s="419"/>
      <c r="I379" s="359">
        <v>5919380</v>
      </c>
      <c r="J379" s="419"/>
      <c r="K379" s="419"/>
      <c r="L379" s="506"/>
      <c r="M379" s="506"/>
      <c r="N379" s="449" t="e">
        <f>G383-G379</f>
        <v>#REF!</v>
      </c>
    </row>
    <row r="380" spans="1:15" s="364" customFormat="1" ht="16.5" customHeight="1">
      <c r="B380" s="420" t="s">
        <v>179</v>
      </c>
      <c r="C380" s="420"/>
      <c r="D380" s="420"/>
      <c r="E380" s="419"/>
      <c r="F380" s="419"/>
      <c r="G380" s="361" t="e">
        <f>#REF!</f>
        <v>#REF!</v>
      </c>
      <c r="H380" s="419"/>
      <c r="I380" s="361">
        <v>8019892</v>
      </c>
      <c r="J380" s="419"/>
      <c r="K380" s="419"/>
      <c r="L380" s="506"/>
      <c r="M380" s="506"/>
      <c r="N380" s="449">
        <f>G391-G387</f>
        <v>213371.66000000015</v>
      </c>
    </row>
    <row r="381" spans="1:15" s="364" customFormat="1" ht="16.5" customHeight="1">
      <c r="B381" s="420"/>
      <c r="C381" s="420"/>
      <c r="D381" s="420"/>
      <c r="E381" s="419"/>
      <c r="F381" s="419"/>
      <c r="G381" s="505" t="e">
        <f>SUM(G379:G380)</f>
        <v>#REF!</v>
      </c>
      <c r="H381" s="419"/>
      <c r="I381" s="505">
        <f>SUM(I379:I380)</f>
        <v>13939272</v>
      </c>
      <c r="J381" s="419"/>
      <c r="K381" s="419"/>
      <c r="L381" s="506"/>
      <c r="M381" s="506"/>
      <c r="N381" s="449" t="e">
        <f>SUM(N379:N380)</f>
        <v>#REF!</v>
      </c>
    </row>
    <row r="382" spans="1:15" s="364" customFormat="1" ht="16.5" customHeight="1">
      <c r="B382" s="420" t="s">
        <v>1114</v>
      </c>
      <c r="C382" s="420"/>
      <c r="D382" s="420"/>
      <c r="E382" s="419"/>
      <c r="F382" s="419"/>
      <c r="G382" s="505">
        <f>-8019892-5842648</f>
        <v>-13862540</v>
      </c>
      <c r="H382" s="419"/>
      <c r="I382" s="505">
        <v>-5919380</v>
      </c>
      <c r="J382" s="419"/>
      <c r="K382" s="419"/>
      <c r="L382" s="506"/>
      <c r="M382" s="419"/>
    </row>
    <row r="383" spans="1:15" s="364" customFormat="1" ht="16.5" customHeight="1" thickBot="1">
      <c r="A383" s="508"/>
      <c r="B383" s="508"/>
      <c r="C383" s="508"/>
      <c r="D383" s="419"/>
      <c r="E383" s="419"/>
      <c r="F383" s="419"/>
      <c r="G383" s="415" t="e">
        <f>G381+G382-0.48</f>
        <v>#REF!</v>
      </c>
      <c r="H383" s="419"/>
      <c r="I383" s="415">
        <f>I381+I382</f>
        <v>8019892</v>
      </c>
      <c r="J383" s="419"/>
      <c r="K383" s="419"/>
      <c r="L383" s="506"/>
      <c r="M383" s="419"/>
      <c r="O383" s="449" t="e">
        <f>G379+G387+G388+G389+#REF!+#REF!+#REF!-'N-4-24-007'!G383-'N-4-24-007'!G391</f>
        <v>#REF!</v>
      </c>
    </row>
    <row r="384" spans="1:15" s="364" customFormat="1" ht="5.25" customHeight="1" thickTop="1">
      <c r="A384" s="419"/>
      <c r="B384" s="419"/>
      <c r="C384" s="419"/>
      <c r="D384" s="419"/>
      <c r="E384" s="419"/>
      <c r="F384" s="419"/>
      <c r="G384" s="507"/>
      <c r="H384" s="419"/>
      <c r="I384" s="419"/>
      <c r="J384" s="419"/>
      <c r="K384" s="419"/>
      <c r="L384" s="506"/>
      <c r="M384" s="506"/>
    </row>
    <row r="385" spans="1:14" s="364" customFormat="1" ht="16.5" customHeight="1">
      <c r="A385" s="512">
        <v>18.3</v>
      </c>
      <c r="B385" s="353" t="s">
        <v>668</v>
      </c>
      <c r="C385" s="353"/>
      <c r="D385" s="419"/>
      <c r="E385" s="419"/>
      <c r="F385" s="419"/>
      <c r="G385" s="419"/>
      <c r="H385" s="419"/>
      <c r="I385" s="419"/>
      <c r="J385" s="419"/>
      <c r="K385" s="419"/>
      <c r="L385" s="419"/>
      <c r="M385" s="506"/>
    </row>
    <row r="386" spans="1:14" s="364" customFormat="1" ht="5.25" customHeight="1">
      <c r="A386" s="419"/>
      <c r="B386" s="419"/>
      <c r="C386" s="419"/>
      <c r="D386" s="419"/>
      <c r="E386" s="419"/>
      <c r="F386" s="419"/>
      <c r="G386" s="419"/>
      <c r="H386" s="419"/>
      <c r="I386" s="419"/>
      <c r="J386" s="419"/>
      <c r="K386" s="419"/>
      <c r="L386" s="419"/>
      <c r="M386" s="506"/>
    </row>
    <row r="387" spans="1:14" s="364" customFormat="1" ht="16.5" customHeight="1">
      <c r="B387" s="420" t="s">
        <v>159</v>
      </c>
      <c r="C387" s="508"/>
      <c r="D387" s="508"/>
      <c r="E387" s="419"/>
      <c r="F387" s="419"/>
      <c r="G387" s="359">
        <f>I391</f>
        <v>1926571.3400000017</v>
      </c>
      <c r="H387" s="419"/>
      <c r="I387" s="359">
        <v>3967673.2800000012</v>
      </c>
      <c r="J387" s="419"/>
      <c r="K387" s="419"/>
      <c r="L387" s="506"/>
      <c r="M387" s="506"/>
    </row>
    <row r="388" spans="1:14" s="364" customFormat="1" ht="16.5" customHeight="1">
      <c r="B388" s="364" t="s">
        <v>743</v>
      </c>
      <c r="E388" s="419"/>
      <c r="F388" s="419"/>
      <c r="G388" s="360">
        <v>4081974</v>
      </c>
      <c r="H388" s="419"/>
      <c r="I388" s="360">
        <v>3872244.07</v>
      </c>
      <c r="J388" s="419"/>
      <c r="K388" s="419"/>
      <c r="L388" s="506"/>
      <c r="M388" s="506"/>
    </row>
    <row r="389" spans="1:14" s="364" customFormat="1" ht="16.5" customHeight="1">
      <c r="B389" s="364" t="s">
        <v>735</v>
      </c>
      <c r="E389" s="419"/>
      <c r="F389" s="419"/>
      <c r="G389" s="360">
        <v>4081974</v>
      </c>
      <c r="H389" s="419"/>
      <c r="I389" s="360">
        <v>3872244.07</v>
      </c>
      <c r="J389" s="419"/>
      <c r="K389" s="419"/>
      <c r="L389" s="506"/>
      <c r="N389" s="449">
        <f>G382+G390</f>
        <v>-21813116.34</v>
      </c>
    </row>
    <row r="390" spans="1:14" s="364" customFormat="1" ht="16.5" customHeight="1">
      <c r="B390" s="364" t="s">
        <v>1115</v>
      </c>
      <c r="E390" s="419"/>
      <c r="F390" s="419"/>
      <c r="G390" s="361">
        <f>-3975288.17-3975288.17</f>
        <v>-7950576.3399999999</v>
      </c>
      <c r="H390" s="419"/>
      <c r="I390" s="361">
        <f>-4892795.04-4892795.04</f>
        <v>-9785590.0800000001</v>
      </c>
      <c r="J390" s="419"/>
      <c r="K390" s="419"/>
      <c r="L390" s="506"/>
      <c r="M390" s="506"/>
    </row>
    <row r="391" spans="1:14" s="364" customFormat="1" ht="16.5" customHeight="1" thickBot="1">
      <c r="A391" s="419"/>
      <c r="B391" s="419"/>
      <c r="C391" s="419"/>
      <c r="D391" s="419"/>
      <c r="E391" s="419"/>
      <c r="F391" s="419"/>
      <c r="G391" s="415">
        <f>SUM(G387:G390)</f>
        <v>2139943.0000000019</v>
      </c>
      <c r="H391" s="419"/>
      <c r="I391" s="415">
        <f>SUM(I387:I390)</f>
        <v>1926571.3400000017</v>
      </c>
      <c r="J391" s="419"/>
      <c r="K391" s="419"/>
      <c r="L391" s="506"/>
      <c r="M391" s="505"/>
    </row>
    <row r="392" spans="1:14" s="364" customFormat="1" ht="5.25" customHeight="1" thickTop="1">
      <c r="A392" s="419"/>
      <c r="B392" s="419"/>
      <c r="C392" s="419"/>
      <c r="D392" s="419"/>
      <c r="E392" s="419"/>
      <c r="F392" s="419"/>
      <c r="G392" s="507"/>
      <c r="H392" s="419"/>
      <c r="I392" s="419"/>
      <c r="J392" s="419"/>
      <c r="K392" s="419"/>
      <c r="L392" s="506"/>
      <c r="M392" s="505"/>
    </row>
    <row r="393" spans="1:14" s="364" customFormat="1" ht="16.5" customHeight="1">
      <c r="A393" s="369">
        <v>19</v>
      </c>
      <c r="B393" s="420" t="s">
        <v>728</v>
      </c>
      <c r="C393" s="419"/>
      <c r="D393" s="419"/>
      <c r="E393" s="419"/>
      <c r="F393" s="419"/>
      <c r="H393" s="419"/>
      <c r="I393" s="419"/>
      <c r="J393" s="419"/>
      <c r="K393" s="419"/>
      <c r="M393" s="506"/>
    </row>
    <row r="394" spans="1:14" s="364" customFormat="1" ht="6" customHeight="1">
      <c r="A394" s="369"/>
      <c r="B394" s="420"/>
      <c r="C394" s="419"/>
      <c r="D394" s="419"/>
      <c r="E394" s="419"/>
      <c r="F394" s="419"/>
      <c r="H394" s="419"/>
      <c r="I394" s="419"/>
      <c r="J394" s="419"/>
      <c r="K394" s="419"/>
      <c r="M394" s="506"/>
    </row>
    <row r="395" spans="1:14" s="364" customFormat="1" ht="16.5" customHeight="1">
      <c r="A395" s="369"/>
      <c r="B395" s="420" t="s">
        <v>159</v>
      </c>
      <c r="C395" s="419"/>
      <c r="D395" s="419"/>
      <c r="E395" s="419"/>
      <c r="F395" s="419"/>
      <c r="G395" s="448">
        <f>I397</f>
        <v>2968702678.21</v>
      </c>
      <c r="H395" s="419"/>
      <c r="I395" s="448">
        <v>2866333868</v>
      </c>
      <c r="J395" s="509"/>
      <c r="K395" s="419"/>
      <c r="L395" s="506"/>
      <c r="M395" s="506"/>
    </row>
    <row r="396" spans="1:14" s="364" customFormat="1" ht="16.5" customHeight="1">
      <c r="A396" s="369"/>
      <c r="B396" s="420" t="s">
        <v>1116</v>
      </c>
      <c r="C396" s="419"/>
      <c r="D396" s="419"/>
      <c r="E396" s="419"/>
      <c r="F396" s="419"/>
      <c r="G396" s="609">
        <v>0</v>
      </c>
      <c r="H396" s="419"/>
      <c r="I396" s="609">
        <f>102368810.21</f>
        <v>102368810.20999999</v>
      </c>
      <c r="J396" s="509"/>
      <c r="K396" s="509"/>
      <c r="L396" s="505"/>
      <c r="M396" s="409"/>
    </row>
    <row r="397" spans="1:14" ht="16.5" customHeight="1">
      <c r="A397" s="419"/>
      <c r="B397" s="814" t="s">
        <v>914</v>
      </c>
      <c r="C397" s="814"/>
      <c r="D397" s="814"/>
      <c r="E397" s="814"/>
      <c r="F397" s="419"/>
      <c r="G397" s="507">
        <f>SUM(G395:G396)</f>
        <v>2968702678.21</v>
      </c>
      <c r="H397" s="419"/>
      <c r="I397" s="507">
        <f>SUM(I395:I396)</f>
        <v>2968702678.21</v>
      </c>
      <c r="J397" s="509"/>
      <c r="K397" s="419"/>
      <c r="L397" s="506"/>
      <c r="M397" s="409"/>
    </row>
    <row r="398" spans="1:14" ht="16.5" customHeight="1">
      <c r="A398" s="419"/>
      <c r="B398" s="814" t="s">
        <v>1221</v>
      </c>
      <c r="C398" s="814"/>
      <c r="D398" s="409"/>
      <c r="E398" s="409"/>
      <c r="F398" s="419"/>
      <c r="G398" s="534">
        <v>-77003072</v>
      </c>
      <c r="H398" s="419"/>
      <c r="I398" s="534">
        <v>0</v>
      </c>
      <c r="J398" s="509"/>
      <c r="K398" s="419"/>
      <c r="L398" s="506"/>
      <c r="M398" s="409"/>
    </row>
    <row r="399" spans="1:14" ht="16.5" customHeight="1">
      <c r="A399" s="419"/>
      <c r="B399" s="409"/>
      <c r="C399" s="409"/>
      <c r="D399" s="409"/>
      <c r="E399" s="409"/>
      <c r="F399" s="419"/>
      <c r="G399" s="507">
        <f>SUM(G397:G398)</f>
        <v>2891699606.21</v>
      </c>
      <c r="H399" s="419"/>
      <c r="I399" s="507">
        <f>SUM(I397:I398)</f>
        <v>2968702678.21</v>
      </c>
      <c r="J399" s="509"/>
      <c r="K399" s="419"/>
      <c r="L399" s="506"/>
      <c r="M399" s="409"/>
    </row>
    <row r="400" spans="1:14" ht="15">
      <c r="A400" s="419"/>
      <c r="B400" s="814" t="s">
        <v>923</v>
      </c>
      <c r="C400" s="814"/>
      <c r="D400" s="814"/>
      <c r="E400" s="814"/>
      <c r="F400" s="814"/>
      <c r="G400" s="505">
        <f>-(77003072+79313164+81692559+84143336-77003072+86667636)</f>
        <v>-331816695</v>
      </c>
      <c r="H400" s="409"/>
      <c r="I400" s="505">
        <f>-(77003072+79313164+81692559)</f>
        <v>-238008795</v>
      </c>
      <c r="J400" s="419"/>
      <c r="K400" s="419"/>
      <c r="L400" s="506"/>
      <c r="M400" s="409"/>
    </row>
    <row r="401" spans="1:16" ht="15.75" thickBot="1">
      <c r="A401" s="419"/>
      <c r="B401" s="814" t="s">
        <v>1080</v>
      </c>
      <c r="C401" s="814"/>
      <c r="D401" s="814"/>
      <c r="E401" s="814"/>
      <c r="F401" s="814"/>
      <c r="G401" s="415">
        <f>G399+G400</f>
        <v>2559882911.21</v>
      </c>
      <c r="H401" s="409"/>
      <c r="I401" s="415">
        <f>I397+I400</f>
        <v>2730693883.21</v>
      </c>
      <c r="J401" s="419"/>
      <c r="K401" s="419"/>
      <c r="L401" s="506"/>
      <c r="M401" s="409"/>
    </row>
    <row r="402" spans="1:16" ht="6" customHeight="1" thickTop="1">
      <c r="A402" s="419"/>
      <c r="B402" s="419"/>
      <c r="C402" s="419"/>
      <c r="D402" s="419"/>
      <c r="E402" s="419"/>
      <c r="F402" s="419"/>
      <c r="G402" s="419"/>
      <c r="H402" s="419"/>
      <c r="I402" s="507"/>
      <c r="J402" s="419"/>
      <c r="K402" s="419"/>
      <c r="L402" s="506"/>
      <c r="M402" s="409"/>
    </row>
    <row r="403" spans="1:16" ht="16.5" customHeight="1">
      <c r="A403" s="395"/>
      <c r="B403" s="364" t="s">
        <v>846</v>
      </c>
      <c r="M403" s="72"/>
      <c r="P403" s="449">
        <v>451591602.75</v>
      </c>
    </row>
    <row r="404" spans="1:16" ht="16.5" customHeight="1">
      <c r="A404" s="395"/>
      <c r="B404" s="420" t="s">
        <v>770</v>
      </c>
      <c r="M404" s="72"/>
    </row>
    <row r="405" spans="1:16" ht="139.5" customHeight="1">
      <c r="A405" s="395"/>
      <c r="B405" s="830" t="s">
        <v>1025</v>
      </c>
      <c r="C405" s="830"/>
      <c r="D405" s="830"/>
      <c r="E405" s="830"/>
      <c r="F405" s="830"/>
      <c r="G405" s="830"/>
      <c r="H405" s="830"/>
      <c r="I405" s="830"/>
      <c r="J405" s="830"/>
      <c r="K405" s="830"/>
      <c r="L405" s="183"/>
      <c r="M405" s="72"/>
    </row>
    <row r="406" spans="1:16" ht="15">
      <c r="A406" s="395"/>
      <c r="B406" s="183"/>
      <c r="C406" s="183"/>
      <c r="D406" s="183"/>
      <c r="E406" s="183"/>
      <c r="F406" s="183"/>
      <c r="G406" s="183"/>
      <c r="H406" s="183"/>
      <c r="I406" s="183"/>
      <c r="J406" s="183"/>
      <c r="K406" s="183"/>
      <c r="L406" s="183"/>
      <c r="M406" s="72"/>
    </row>
    <row r="407" spans="1:16" s="364" customFormat="1" ht="16.5" customHeight="1">
      <c r="A407" s="535" t="s">
        <v>1147</v>
      </c>
      <c r="B407" s="373" t="s">
        <v>28</v>
      </c>
      <c r="C407" s="373"/>
      <c r="D407" s="373"/>
      <c r="E407" s="373"/>
      <c r="F407" s="373"/>
      <c r="G407" s="373"/>
      <c r="H407" s="373"/>
      <c r="I407" s="373"/>
      <c r="J407" s="353"/>
      <c r="K407" s="353"/>
      <c r="L407" s="373"/>
      <c r="M407" s="502"/>
    </row>
    <row r="408" spans="1:16" s="364" customFormat="1" ht="4.5" customHeight="1">
      <c r="A408" s="502"/>
      <c r="B408" s="502"/>
      <c r="C408" s="502"/>
      <c r="D408" s="502"/>
      <c r="E408" s="502"/>
      <c r="F408" s="502"/>
      <c r="G408" s="502"/>
      <c r="H408" s="502"/>
      <c r="I408" s="502"/>
      <c r="M408" s="502"/>
    </row>
    <row r="409" spans="1:16" s="364" customFormat="1" ht="16.5" customHeight="1">
      <c r="A409" s="502"/>
      <c r="B409" s="373" t="s">
        <v>234</v>
      </c>
      <c r="C409" s="373"/>
      <c r="D409" s="502"/>
      <c r="E409" s="373"/>
      <c r="F409" s="373"/>
      <c r="G409" s="526">
        <v>109101</v>
      </c>
      <c r="H409" s="373"/>
      <c r="I409" s="526">
        <f>119621.81-18997.95+8476.66</f>
        <v>109100.52</v>
      </c>
      <c r="J409" s="353"/>
      <c r="K409" s="353"/>
      <c r="L409" s="502"/>
      <c r="M409" s="502"/>
    </row>
    <row r="410" spans="1:16" s="364" customFormat="1" ht="16.5" customHeight="1">
      <c r="A410" s="502"/>
      <c r="B410" s="373" t="s">
        <v>903</v>
      </c>
      <c r="C410" s="373"/>
      <c r="D410" s="502"/>
      <c r="E410" s="516"/>
      <c r="F410" s="373"/>
      <c r="G410" s="527">
        <f>9106611.15+10398139.71-259159.6</f>
        <v>19245591.259999998</v>
      </c>
      <c r="H410" s="373"/>
      <c r="I410" s="527">
        <f>6777011.73+5199648.6-176445</f>
        <v>11800215.33</v>
      </c>
      <c r="J410" s="353"/>
      <c r="K410" s="353"/>
      <c r="L410" s="502"/>
      <c r="M410" s="502"/>
      <c r="O410" s="449">
        <v>19504750.859999999</v>
      </c>
    </row>
    <row r="411" spans="1:16" s="364" customFormat="1" ht="16.5" customHeight="1">
      <c r="A411" s="502"/>
      <c r="B411" s="373" t="s">
        <v>863</v>
      </c>
      <c r="C411" s="373"/>
      <c r="D411" s="502"/>
      <c r="E411" s="373"/>
      <c r="F411" s="373"/>
      <c r="G411" s="527">
        <v>1322185.43</v>
      </c>
      <c r="H411" s="373"/>
      <c r="I411" s="527">
        <v>502500</v>
      </c>
      <c r="J411" s="353"/>
      <c r="K411" s="353"/>
      <c r="L411" s="502"/>
      <c r="M411" s="502"/>
    </row>
    <row r="412" spans="1:16" s="364" customFormat="1" ht="16.5" customHeight="1">
      <c r="A412" s="502"/>
      <c r="B412" s="373" t="s">
        <v>900</v>
      </c>
      <c r="C412" s="373"/>
      <c r="D412" s="502"/>
      <c r="E412" s="373"/>
      <c r="F412" s="373"/>
      <c r="G412" s="527">
        <v>471629.8</v>
      </c>
      <c r="H412" s="373"/>
      <c r="I412" s="527">
        <v>1139837.5</v>
      </c>
      <c r="J412" s="353"/>
      <c r="K412" s="353"/>
      <c r="L412" s="502"/>
      <c r="M412" s="502"/>
    </row>
    <row r="413" spans="1:16" s="364" customFormat="1" ht="16.5" customHeight="1">
      <c r="A413" s="502"/>
      <c r="B413" s="373" t="s">
        <v>902</v>
      </c>
      <c r="C413" s="373"/>
      <c r="D413" s="502"/>
      <c r="E413" s="373"/>
      <c r="F413" s="373"/>
      <c r="G413" s="527">
        <v>5463913.6399999997</v>
      </c>
      <c r="H413" s="373"/>
      <c r="I413" s="527">
        <v>7325222.9000000004</v>
      </c>
      <c r="J413" s="353"/>
      <c r="K413" s="353"/>
      <c r="L413" s="502"/>
      <c r="M413" s="502"/>
    </row>
    <row r="414" spans="1:16" s="364" customFormat="1" ht="16.5" customHeight="1">
      <c r="A414" s="502"/>
      <c r="B414" s="373" t="s">
        <v>176</v>
      </c>
      <c r="C414" s="373"/>
      <c r="D414" s="502"/>
      <c r="E414" s="373"/>
      <c r="F414" s="373"/>
      <c r="G414" s="527">
        <f>40118184.46-1453088-3374-786-10569-4580-708371.64-14147364.14-537-4629-861456-3400</f>
        <v>22920029.68</v>
      </c>
      <c r="H414" s="373"/>
      <c r="I414" s="527">
        <f>16307871.68+57350+2528035+9400+6985653-2598203</f>
        <v>23290106.68</v>
      </c>
      <c r="J414" s="353"/>
      <c r="K414" s="353"/>
      <c r="L414" s="502"/>
      <c r="M414" s="502"/>
    </row>
    <row r="415" spans="1:16" s="364" customFormat="1" ht="16.5" customHeight="1">
      <c r="A415" s="502"/>
      <c r="B415" s="627" t="s">
        <v>1206</v>
      </c>
      <c r="C415" s="373"/>
      <c r="D415" s="502"/>
      <c r="E415" s="373"/>
      <c r="F415" s="373"/>
      <c r="G415" s="527">
        <f>9770760+883800</f>
        <v>10654560</v>
      </c>
      <c r="H415" s="373"/>
      <c r="I415" s="527">
        <f>23057960+593400-753250</f>
        <v>22898110</v>
      </c>
      <c r="J415" s="353"/>
      <c r="K415" s="353"/>
      <c r="L415" s="502"/>
      <c r="M415" s="502"/>
      <c r="O415" s="449">
        <v>10654560</v>
      </c>
    </row>
    <row r="416" spans="1:16" s="364" customFormat="1" ht="16.5" customHeight="1">
      <c r="A416" s="502"/>
      <c r="B416" s="373" t="s">
        <v>778</v>
      </c>
      <c r="C416" s="373"/>
      <c r="D416" s="502"/>
      <c r="E416" s="373"/>
      <c r="F416" s="373"/>
      <c r="G416" s="527">
        <v>116602</v>
      </c>
      <c r="H416" s="373"/>
      <c r="I416" s="527">
        <v>116602</v>
      </c>
      <c r="J416" s="353"/>
      <c r="K416" s="353"/>
      <c r="L416" s="502"/>
      <c r="M416" s="502"/>
    </row>
    <row r="417" spans="1:21" s="364" customFormat="1" ht="16.5" customHeight="1">
      <c r="A417" s="502"/>
      <c r="B417" s="373" t="s">
        <v>961</v>
      </c>
      <c r="C417" s="373"/>
      <c r="D417" s="502"/>
      <c r="E417" s="373"/>
      <c r="F417" s="373"/>
      <c r="G417" s="527">
        <v>174225</v>
      </c>
      <c r="H417" s="373"/>
      <c r="I417" s="527">
        <v>90000</v>
      </c>
      <c r="J417" s="353"/>
      <c r="K417" s="353"/>
      <c r="L417" s="502"/>
      <c r="M417" s="502"/>
    </row>
    <row r="418" spans="1:21" s="364" customFormat="1" ht="16.5" customHeight="1">
      <c r="A418" s="502"/>
      <c r="B418" s="373" t="s">
        <v>836</v>
      </c>
      <c r="C418" s="373"/>
      <c r="D418" s="502"/>
      <c r="E418" s="373"/>
      <c r="F418" s="373"/>
      <c r="G418" s="527">
        <v>6795394</v>
      </c>
      <c r="H418" s="373"/>
      <c r="I418" s="527">
        <f>9578035+4012754</f>
        <v>13590789</v>
      </c>
      <c r="J418" s="353"/>
      <c r="K418" s="353"/>
      <c r="L418" s="502"/>
      <c r="M418" s="502"/>
      <c r="P418" s="364">
        <f>2</f>
        <v>2</v>
      </c>
    </row>
    <row r="419" spans="1:21" s="364" customFormat="1" ht="16.5" customHeight="1">
      <c r="A419" s="502"/>
      <c r="B419" s="373" t="s">
        <v>1065</v>
      </c>
      <c r="C419" s="373"/>
      <c r="D419" s="502"/>
      <c r="E419" s="373"/>
      <c r="F419" s="373"/>
      <c r="G419" s="527">
        <v>120909</v>
      </c>
      <c r="H419" s="373"/>
      <c r="I419" s="527">
        <v>0</v>
      </c>
      <c r="J419" s="353"/>
      <c r="K419" s="353"/>
      <c r="L419" s="502"/>
      <c r="M419" s="502"/>
    </row>
    <row r="420" spans="1:21" s="364" customFormat="1" ht="16.5" customHeight="1">
      <c r="A420" s="502"/>
      <c r="B420" s="373" t="s">
        <v>1207</v>
      </c>
      <c r="C420" s="373"/>
      <c r="D420" s="502"/>
      <c r="E420" s="373"/>
      <c r="F420" s="373"/>
      <c r="G420" s="527">
        <v>4874395</v>
      </c>
      <c r="H420" s="373"/>
      <c r="I420" s="527">
        <v>4467266</v>
      </c>
      <c r="J420" s="353"/>
      <c r="K420" s="353"/>
      <c r="L420" s="502"/>
      <c r="M420" s="502"/>
    </row>
    <row r="421" spans="1:21" s="364" customFormat="1" ht="16.5" customHeight="1">
      <c r="A421" s="502"/>
      <c r="B421" s="373" t="s">
        <v>898</v>
      </c>
      <c r="C421" s="373"/>
      <c r="D421" s="502"/>
      <c r="E421" s="373"/>
      <c r="F421" s="373"/>
      <c r="G421" s="527">
        <v>322875</v>
      </c>
      <c r="H421" s="373"/>
      <c r="I421" s="527">
        <v>0</v>
      </c>
      <c r="J421" s="353"/>
      <c r="K421" s="353"/>
      <c r="L421" s="502"/>
      <c r="M421" s="502"/>
    </row>
    <row r="422" spans="1:21" s="364" customFormat="1" ht="16.5" customHeight="1">
      <c r="A422" s="502"/>
      <c r="B422" s="373" t="s">
        <v>736</v>
      </c>
      <c r="C422" s="373"/>
      <c r="D422" s="502"/>
      <c r="E422" s="373"/>
      <c r="F422" s="373"/>
      <c r="G422" s="527">
        <v>184492</v>
      </c>
      <c r="H422" s="373"/>
      <c r="I422" s="527">
        <f>1807911+8139662-2515</f>
        <v>9945058</v>
      </c>
      <c r="J422" s="353"/>
      <c r="K422" s="353"/>
      <c r="L422" s="502"/>
      <c r="M422" s="502"/>
    </row>
    <row r="423" spans="1:21" s="364" customFormat="1" ht="16.5" customHeight="1">
      <c r="A423" s="502"/>
      <c r="B423" s="373" t="s">
        <v>966</v>
      </c>
      <c r="C423" s="373"/>
      <c r="D423" s="502"/>
      <c r="E423" s="373"/>
      <c r="F423" s="373"/>
      <c r="G423" s="527">
        <v>11314629</v>
      </c>
      <c r="H423" s="373"/>
      <c r="I423" s="527">
        <v>1678629.03</v>
      </c>
      <c r="J423" s="353"/>
      <c r="K423" s="353"/>
      <c r="L423" s="502"/>
      <c r="M423" s="502"/>
    </row>
    <row r="424" spans="1:21" s="364" customFormat="1" ht="16.5" customHeight="1">
      <c r="A424" s="502"/>
      <c r="B424" s="373" t="s">
        <v>1073</v>
      </c>
      <c r="C424" s="373"/>
      <c r="D424" s="502"/>
      <c r="E424" s="373"/>
      <c r="F424" s="373"/>
      <c r="G424" s="527">
        <v>4374450</v>
      </c>
      <c r="H424" s="373"/>
      <c r="I424" s="527">
        <v>0</v>
      </c>
      <c r="J424" s="353"/>
      <c r="K424" s="353"/>
      <c r="L424" s="502"/>
      <c r="M424" s="502"/>
      <c r="N424" s="449"/>
      <c r="Q424" s="353" t="s">
        <v>1215</v>
      </c>
      <c r="R424" s="353"/>
      <c r="S424" s="353"/>
      <c r="T424" s="353"/>
      <c r="U424" s="353">
        <v>90000</v>
      </c>
    </row>
    <row r="425" spans="1:21" s="364" customFormat="1" ht="16.5" customHeight="1">
      <c r="A425" s="502"/>
      <c r="B425" s="373" t="s">
        <v>746</v>
      </c>
      <c r="C425" s="373"/>
      <c r="D425" s="502"/>
      <c r="E425" s="373"/>
      <c r="F425" s="373"/>
      <c r="G425" s="527">
        <v>1610932.26</v>
      </c>
      <c r="H425" s="373"/>
      <c r="I425" s="527">
        <v>1610932.26</v>
      </c>
      <c r="J425" s="353"/>
      <c r="K425" s="353"/>
      <c r="L425" s="502"/>
      <c r="M425" s="502"/>
      <c r="N425" s="364">
        <f>22166319.68+22991992.64+8841830.13+468000+809676.3</f>
        <v>55277818.75</v>
      </c>
    </row>
    <row r="426" spans="1:21" s="364" customFormat="1" ht="16.5" customHeight="1">
      <c r="A426" s="502"/>
      <c r="B426" s="373" t="s">
        <v>502</v>
      </c>
      <c r="C426" s="373"/>
      <c r="D426" s="502"/>
      <c r="E426" s="516"/>
      <c r="F426" s="373"/>
      <c r="G426" s="527">
        <f>55210346+505000+74141919.42-24657898.4-113034.4+67473+290605.14+290605.14</f>
        <v>105735015.90000001</v>
      </c>
      <c r="H426" s="373"/>
      <c r="I426" s="527">
        <f>126970685+10352655.92+26204647.59-159313114</f>
        <v>4214874.5099999905</v>
      </c>
      <c r="J426" s="353"/>
      <c r="K426" s="353"/>
      <c r="L426" s="502"/>
      <c r="M426" s="502"/>
      <c r="N426" s="436">
        <v>55210345.75</v>
      </c>
      <c r="O426" s="449">
        <v>80410555.659999996</v>
      </c>
    </row>
    <row r="427" spans="1:21" s="364" customFormat="1" ht="16.5" customHeight="1">
      <c r="A427" s="502"/>
      <c r="B427" s="373" t="s">
        <v>960</v>
      </c>
      <c r="C427" s="373"/>
      <c r="D427" s="502"/>
      <c r="E427" s="373"/>
      <c r="F427" s="373"/>
      <c r="G427" s="527">
        <v>23000</v>
      </c>
      <c r="H427" s="373"/>
      <c r="I427" s="527">
        <v>23000</v>
      </c>
      <c r="J427" s="353"/>
      <c r="K427" s="353"/>
      <c r="L427" s="502"/>
      <c r="M427" s="502"/>
    </row>
    <row r="428" spans="1:21" s="364" customFormat="1" ht="16.5" customHeight="1">
      <c r="A428" s="502"/>
      <c r="B428" s="373" t="s">
        <v>1064</v>
      </c>
      <c r="C428" s="373"/>
      <c r="D428" s="502"/>
      <c r="E428" s="373"/>
      <c r="F428" s="373"/>
      <c r="G428" s="527">
        <v>16700</v>
      </c>
      <c r="H428" s="373"/>
      <c r="I428" s="527">
        <v>0</v>
      </c>
      <c r="J428" s="353"/>
      <c r="K428" s="353"/>
      <c r="L428" s="502"/>
      <c r="M428" s="502"/>
    </row>
    <row r="429" spans="1:21" s="364" customFormat="1" ht="16.5" customHeight="1">
      <c r="A429" s="502"/>
      <c r="B429" s="373" t="s">
        <v>783</v>
      </c>
      <c r="C429" s="373"/>
      <c r="D429" s="502"/>
      <c r="E429" s="373"/>
      <c r="F429" s="373"/>
      <c r="G429" s="527">
        <v>7680789</v>
      </c>
      <c r="H429" s="373"/>
      <c r="I429" s="527">
        <v>3947379.23</v>
      </c>
      <c r="J429" s="353"/>
      <c r="K429" s="353"/>
      <c r="L429" s="502"/>
      <c r="M429" s="502"/>
    </row>
    <row r="430" spans="1:21" s="364" customFormat="1" ht="16.5" customHeight="1">
      <c r="A430" s="502"/>
      <c r="B430" s="373" t="s">
        <v>1136</v>
      </c>
      <c r="C430" s="373"/>
      <c r="D430" s="502"/>
      <c r="E430" s="373"/>
      <c r="F430" s="373"/>
      <c r="G430" s="527">
        <v>17167</v>
      </c>
      <c r="H430" s="373"/>
      <c r="I430" s="527">
        <v>0</v>
      </c>
      <c r="J430" s="353"/>
      <c r="K430" s="353"/>
      <c r="L430" s="502"/>
      <c r="M430" s="502"/>
    </row>
    <row r="431" spans="1:21" s="364" customFormat="1" ht="15.75" customHeight="1">
      <c r="A431" s="502"/>
      <c r="B431" s="373" t="s">
        <v>784</v>
      </c>
      <c r="C431" s="373"/>
      <c r="D431" s="502"/>
      <c r="E431" s="373"/>
      <c r="F431" s="373"/>
      <c r="G431" s="527">
        <v>361103</v>
      </c>
      <c r="H431" s="373"/>
      <c r="I431" s="527">
        <v>330615</v>
      </c>
      <c r="J431" s="353"/>
      <c r="K431" s="353"/>
      <c r="L431" s="502"/>
      <c r="M431" s="502"/>
    </row>
    <row r="432" spans="1:21" s="364" customFormat="1" ht="16.5" customHeight="1">
      <c r="A432" s="502"/>
      <c r="B432" s="373" t="s">
        <v>737</v>
      </c>
      <c r="C432" s="373"/>
      <c r="D432" s="502"/>
      <c r="E432" s="373"/>
      <c r="F432" s="373"/>
      <c r="G432" s="527">
        <v>93649</v>
      </c>
      <c r="H432" s="373"/>
      <c r="I432" s="527">
        <v>2016724</v>
      </c>
      <c r="J432" s="353"/>
      <c r="K432" s="353"/>
      <c r="L432" s="502"/>
      <c r="M432" s="502"/>
    </row>
    <row r="433" spans="1:13" s="364" customFormat="1" ht="16.5" customHeight="1">
      <c r="A433" s="502"/>
      <c r="B433" s="373" t="s">
        <v>912</v>
      </c>
      <c r="C433" s="373"/>
      <c r="D433" s="502"/>
      <c r="E433" s="373"/>
      <c r="F433" s="373"/>
      <c r="G433" s="527">
        <v>126305</v>
      </c>
      <c r="H433" s="373"/>
      <c r="I433" s="527">
        <v>139794</v>
      </c>
      <c r="J433" s="353"/>
      <c r="K433" s="353"/>
      <c r="L433" s="502"/>
      <c r="M433" s="502"/>
    </row>
    <row r="434" spans="1:13" s="364" customFormat="1" ht="16.5" customHeight="1">
      <c r="A434" s="502"/>
      <c r="B434" s="373" t="s">
        <v>824</v>
      </c>
      <c r="C434" s="373"/>
      <c r="D434" s="502"/>
      <c r="E434" s="373"/>
      <c r="F434" s="373"/>
      <c r="G434" s="527">
        <v>146280</v>
      </c>
      <c r="H434" s="373"/>
      <c r="I434" s="527">
        <v>146280</v>
      </c>
      <c r="J434" s="353"/>
      <c r="K434" s="353"/>
      <c r="L434" s="502"/>
      <c r="M434" s="502"/>
    </row>
    <row r="435" spans="1:13" s="364" customFormat="1" ht="16.5" customHeight="1">
      <c r="A435" s="502"/>
      <c r="B435" s="373" t="s">
        <v>965</v>
      </c>
      <c r="C435" s="373"/>
      <c r="D435" s="502"/>
      <c r="E435" s="373"/>
      <c r="F435" s="373"/>
      <c r="G435" s="527">
        <v>50000</v>
      </c>
      <c r="H435" s="373"/>
      <c r="I435" s="527">
        <v>50000</v>
      </c>
      <c r="J435" s="353"/>
      <c r="K435" s="353"/>
      <c r="L435" s="502"/>
      <c r="M435" s="502"/>
    </row>
    <row r="436" spans="1:13" s="364" customFormat="1" ht="16.5" customHeight="1">
      <c r="A436" s="502"/>
      <c r="B436" s="373" t="s">
        <v>954</v>
      </c>
      <c r="C436" s="373"/>
      <c r="D436" s="502"/>
      <c r="E436" s="373"/>
      <c r="F436" s="373"/>
      <c r="G436" s="527">
        <v>0</v>
      </c>
      <c r="H436" s="373"/>
      <c r="I436" s="527">
        <v>4000</v>
      </c>
      <c r="J436" s="353"/>
      <c r="K436" s="353"/>
      <c r="L436" s="502"/>
      <c r="M436" s="502"/>
    </row>
    <row r="437" spans="1:13" s="364" customFormat="1" ht="16.5" customHeight="1">
      <c r="A437" s="502"/>
      <c r="B437" s="373" t="s">
        <v>955</v>
      </c>
      <c r="C437" s="373"/>
      <c r="D437" s="502"/>
      <c r="E437" s="373"/>
      <c r="F437" s="373"/>
      <c r="G437" s="527">
        <v>20000</v>
      </c>
      <c r="H437" s="373"/>
      <c r="I437" s="527">
        <v>20000</v>
      </c>
      <c r="J437" s="353"/>
      <c r="K437" s="353"/>
      <c r="L437" s="502"/>
      <c r="M437" s="502"/>
    </row>
    <row r="438" spans="1:13" s="364" customFormat="1" ht="16.5" customHeight="1">
      <c r="A438" s="502"/>
      <c r="B438" s="373" t="s">
        <v>694</v>
      </c>
      <c r="C438" s="373"/>
      <c r="D438" s="502"/>
      <c r="E438" s="373"/>
      <c r="F438" s="373"/>
      <c r="G438" s="527">
        <v>0</v>
      </c>
      <c r="H438" s="373"/>
      <c r="I438" s="527">
        <v>3738</v>
      </c>
      <c r="J438" s="353"/>
      <c r="K438" s="353"/>
      <c r="L438" s="502"/>
      <c r="M438" s="502"/>
    </row>
    <row r="439" spans="1:13" s="364" customFormat="1" ht="16.5" customHeight="1">
      <c r="A439" s="502"/>
      <c r="B439" s="373" t="s">
        <v>1135</v>
      </c>
      <c r="C439" s="373"/>
      <c r="D439" s="502"/>
      <c r="E439" s="373"/>
      <c r="F439" s="373"/>
      <c r="G439" s="527">
        <v>7000</v>
      </c>
      <c r="H439" s="373"/>
      <c r="I439" s="527">
        <v>0</v>
      </c>
      <c r="J439" s="353"/>
      <c r="K439" s="353"/>
      <c r="L439" s="502"/>
      <c r="M439" s="502"/>
    </row>
    <row r="440" spans="1:13" s="364" customFormat="1" ht="16.5" customHeight="1">
      <c r="A440" s="502"/>
      <c r="B440" s="373" t="s">
        <v>956</v>
      </c>
      <c r="C440" s="373"/>
      <c r="D440" s="502"/>
      <c r="E440" s="373"/>
      <c r="F440" s="373"/>
      <c r="G440" s="527">
        <v>0</v>
      </c>
      <c r="H440" s="373"/>
      <c r="I440" s="527">
        <f>287500</f>
        <v>287500</v>
      </c>
      <c r="J440" s="353"/>
      <c r="K440" s="353"/>
      <c r="L440" s="502"/>
      <c r="M440" s="502"/>
    </row>
    <row r="441" spans="1:13" s="364" customFormat="1" ht="16.5" customHeight="1">
      <c r="A441" s="502"/>
      <c r="B441" s="373" t="s">
        <v>862</v>
      </c>
      <c r="C441" s="373"/>
      <c r="D441" s="502"/>
      <c r="E441" s="373"/>
      <c r="F441" s="373"/>
      <c r="G441" s="527">
        <v>509998</v>
      </c>
      <c r="H441" s="373"/>
      <c r="I441" s="527">
        <v>509998</v>
      </c>
      <c r="J441" s="353"/>
      <c r="K441" s="353"/>
      <c r="L441" s="502"/>
      <c r="M441" s="502"/>
    </row>
    <row r="442" spans="1:13" s="364" customFormat="1" ht="16.5" customHeight="1">
      <c r="A442" s="502"/>
      <c r="B442" s="511" t="s">
        <v>733</v>
      </c>
      <c r="C442" s="373"/>
      <c r="D442" s="502"/>
      <c r="E442" s="373"/>
      <c r="F442" s="373"/>
      <c r="G442" s="527">
        <v>0</v>
      </c>
      <c r="H442" s="373"/>
      <c r="I442" s="527">
        <v>44100</v>
      </c>
      <c r="J442" s="353"/>
      <c r="K442" s="353"/>
      <c r="L442" s="502"/>
      <c r="M442" s="502"/>
    </row>
    <row r="443" spans="1:13" s="364" customFormat="1" ht="16.5" customHeight="1">
      <c r="A443" s="502"/>
      <c r="B443" s="373" t="s">
        <v>968</v>
      </c>
      <c r="C443" s="373"/>
      <c r="D443" s="502"/>
      <c r="E443" s="373"/>
      <c r="F443" s="373"/>
      <c r="G443" s="527">
        <v>0</v>
      </c>
      <c r="H443" s="373"/>
      <c r="I443" s="527">
        <v>18981</v>
      </c>
      <c r="J443" s="353"/>
      <c r="K443" s="353"/>
      <c r="L443" s="502"/>
      <c r="M443" s="502"/>
    </row>
    <row r="444" spans="1:13" s="364" customFormat="1" ht="16.5" customHeight="1">
      <c r="A444" s="502"/>
      <c r="B444" s="373" t="s">
        <v>967</v>
      </c>
      <c r="C444" s="373"/>
      <c r="D444" s="502"/>
      <c r="E444" s="373"/>
      <c r="F444" s="373"/>
      <c r="G444" s="527">
        <v>5600</v>
      </c>
      <c r="H444" s="373"/>
      <c r="I444" s="527">
        <v>16800</v>
      </c>
      <c r="J444" s="353"/>
      <c r="K444" s="353"/>
      <c r="L444" s="502"/>
      <c r="M444" s="502"/>
    </row>
    <row r="445" spans="1:13" s="364" customFormat="1" ht="16.5" customHeight="1">
      <c r="A445" s="502"/>
      <c r="B445" s="373" t="s">
        <v>1075</v>
      </c>
      <c r="C445" s="373"/>
      <c r="D445" s="502"/>
      <c r="E445" s="373"/>
      <c r="F445" s="373"/>
      <c r="G445" s="527">
        <v>718940</v>
      </c>
      <c r="H445" s="373"/>
      <c r="I445" s="527">
        <v>0</v>
      </c>
      <c r="J445" s="353"/>
      <c r="K445" s="353"/>
      <c r="L445" s="502"/>
      <c r="M445" s="502"/>
    </row>
    <row r="446" spans="1:13" s="364" customFormat="1" ht="16.5" customHeight="1">
      <c r="A446" s="502"/>
      <c r="B446" s="373" t="s">
        <v>1133</v>
      </c>
      <c r="C446" s="373"/>
      <c r="D446" s="502"/>
      <c r="E446" s="373"/>
      <c r="F446" s="373"/>
      <c r="G446" s="527">
        <v>220500</v>
      </c>
      <c r="H446" s="373"/>
      <c r="I446" s="527">
        <v>0</v>
      </c>
      <c r="J446" s="353"/>
      <c r="K446" s="353"/>
      <c r="L446" s="502"/>
      <c r="M446" s="502"/>
    </row>
    <row r="447" spans="1:13" s="364" customFormat="1" ht="16.5" customHeight="1">
      <c r="A447" s="502"/>
      <c r="B447" s="373" t="s">
        <v>957</v>
      </c>
      <c r="C447" s="373"/>
      <c r="D447" s="502"/>
      <c r="E447" s="373"/>
      <c r="F447" s="373"/>
      <c r="G447" s="527">
        <v>25000</v>
      </c>
      <c r="H447" s="373"/>
      <c r="I447" s="527">
        <v>25000</v>
      </c>
      <c r="J447" s="353"/>
      <c r="K447" s="353"/>
      <c r="L447" s="502"/>
      <c r="M447" s="502"/>
    </row>
    <row r="448" spans="1:13" s="364" customFormat="1" ht="16.5" customHeight="1">
      <c r="A448" s="502"/>
      <c r="B448" s="373" t="s">
        <v>958</v>
      </c>
      <c r="C448" s="373"/>
      <c r="D448" s="502"/>
      <c r="E448" s="373"/>
      <c r="F448" s="373"/>
      <c r="G448" s="527">
        <v>28750</v>
      </c>
      <c r="H448" s="373"/>
      <c r="I448" s="527">
        <v>28750</v>
      </c>
      <c r="J448" s="353"/>
      <c r="K448" s="353"/>
      <c r="L448" s="502"/>
      <c r="M448" s="502"/>
    </row>
    <row r="449" spans="1:13" s="364" customFormat="1" ht="16.5" customHeight="1">
      <c r="A449" s="502"/>
      <c r="B449" s="373" t="s">
        <v>1131</v>
      </c>
      <c r="C449" s="373"/>
      <c r="D449" s="502"/>
      <c r="E449" s="373"/>
      <c r="F449" s="373"/>
      <c r="G449" s="527">
        <v>299000</v>
      </c>
      <c r="H449" s="373"/>
      <c r="I449" s="527">
        <v>0</v>
      </c>
      <c r="J449" s="353"/>
      <c r="K449" s="353"/>
      <c r="L449" s="502"/>
      <c r="M449" s="502"/>
    </row>
    <row r="450" spans="1:13" s="364" customFormat="1" ht="16.5" customHeight="1">
      <c r="A450" s="502"/>
      <c r="B450" s="373" t="s">
        <v>833</v>
      </c>
      <c r="C450" s="373"/>
      <c r="D450" s="502"/>
      <c r="E450" s="373"/>
      <c r="F450" s="373"/>
      <c r="G450" s="527">
        <v>29751</v>
      </c>
      <c r="H450" s="373"/>
      <c r="I450" s="527">
        <v>34508</v>
      </c>
      <c r="J450" s="353"/>
      <c r="K450" s="353"/>
      <c r="L450" s="502"/>
      <c r="M450" s="502"/>
    </row>
    <row r="451" spans="1:13" s="364" customFormat="1" ht="16.5" customHeight="1">
      <c r="A451" s="502"/>
      <c r="B451" s="373" t="s">
        <v>969</v>
      </c>
      <c r="C451" s="373"/>
      <c r="D451" s="502"/>
      <c r="E451" s="373"/>
      <c r="F451" s="373"/>
      <c r="G451" s="527">
        <v>181</v>
      </c>
      <c r="H451" s="373"/>
      <c r="I451" s="527">
        <v>181</v>
      </c>
      <c r="J451" s="353"/>
      <c r="K451" s="353"/>
      <c r="L451" s="502"/>
      <c r="M451" s="502"/>
    </row>
    <row r="452" spans="1:13" s="364" customFormat="1" ht="16.5" customHeight="1">
      <c r="A452" s="502"/>
      <c r="B452" s="373" t="s">
        <v>1074</v>
      </c>
      <c r="C452" s="373"/>
      <c r="D452" s="502"/>
      <c r="E452" s="373"/>
      <c r="F452" s="373"/>
      <c r="G452" s="527">
        <v>74750</v>
      </c>
      <c r="H452" s="373"/>
      <c r="I452" s="527">
        <v>0</v>
      </c>
      <c r="J452" s="353"/>
      <c r="K452" s="353"/>
      <c r="L452" s="502"/>
      <c r="M452" s="502"/>
    </row>
    <row r="453" spans="1:13" s="364" customFormat="1" ht="16.5" customHeight="1">
      <c r="A453" s="502"/>
      <c r="B453" s="373" t="s">
        <v>1035</v>
      </c>
      <c r="C453" s="373"/>
      <c r="D453" s="502"/>
      <c r="E453" s="373"/>
      <c r="F453" s="373"/>
      <c r="G453" s="527">
        <v>1000</v>
      </c>
      <c r="H453" s="373"/>
      <c r="I453" s="527">
        <v>1000</v>
      </c>
      <c r="J453" s="353"/>
      <c r="K453" s="353"/>
      <c r="L453" s="502"/>
      <c r="M453" s="502"/>
    </row>
    <row r="454" spans="1:13" s="364" customFormat="1" ht="16.5" customHeight="1">
      <c r="A454" s="502"/>
      <c r="B454" s="373" t="s">
        <v>959</v>
      </c>
      <c r="C454" s="373"/>
      <c r="D454" s="502"/>
      <c r="E454" s="373"/>
      <c r="F454" s="373"/>
      <c r="G454" s="527">
        <v>0</v>
      </c>
      <c r="H454" s="373"/>
      <c r="I454" s="527">
        <v>68850</v>
      </c>
      <c r="J454" s="353"/>
      <c r="K454" s="353"/>
      <c r="L454" s="502"/>
      <c r="M454" s="502"/>
    </row>
    <row r="455" spans="1:13" s="364" customFormat="1" ht="16.5" customHeight="1">
      <c r="A455" s="502"/>
      <c r="B455" s="373" t="s">
        <v>1132</v>
      </c>
      <c r="C455" s="373"/>
      <c r="D455" s="502"/>
      <c r="E455" s="373"/>
      <c r="F455" s="373"/>
      <c r="G455" s="527">
        <v>16000</v>
      </c>
      <c r="H455" s="373"/>
      <c r="I455" s="527">
        <v>0</v>
      </c>
      <c r="J455" s="353"/>
      <c r="K455" s="353"/>
      <c r="L455" s="502"/>
      <c r="M455" s="502"/>
    </row>
    <row r="456" spans="1:13" s="364" customFormat="1" ht="16.5" customHeight="1">
      <c r="A456" s="502"/>
      <c r="B456" s="373" t="s">
        <v>1129</v>
      </c>
      <c r="C456" s="373"/>
      <c r="D456" s="502"/>
      <c r="E456" s="373"/>
      <c r="F456" s="373"/>
      <c r="G456" s="527">
        <v>37950</v>
      </c>
      <c r="H456" s="373"/>
      <c r="I456" s="527">
        <v>0</v>
      </c>
      <c r="J456" s="353"/>
      <c r="K456" s="353"/>
      <c r="L456" s="502"/>
      <c r="M456" s="502"/>
    </row>
    <row r="457" spans="1:13" s="364" customFormat="1" ht="16.5" customHeight="1">
      <c r="A457" s="502"/>
      <c r="B457" s="373" t="s">
        <v>1054</v>
      </c>
      <c r="C457" s="373"/>
      <c r="D457" s="502"/>
      <c r="E457" s="373"/>
      <c r="F457" s="373"/>
      <c r="G457" s="527">
        <v>63145</v>
      </c>
      <c r="H457" s="373"/>
      <c r="I457" s="527">
        <v>0</v>
      </c>
      <c r="J457" s="353"/>
      <c r="K457" s="353"/>
      <c r="L457" s="502"/>
      <c r="M457" s="502"/>
    </row>
    <row r="458" spans="1:13" s="364" customFormat="1" ht="16.5" customHeight="1">
      <c r="A458" s="502"/>
      <c r="B458" s="373" t="s">
        <v>1137</v>
      </c>
      <c r="C458" s="373"/>
      <c r="D458" s="502"/>
      <c r="E458" s="373"/>
      <c r="F458" s="373"/>
      <c r="G458" s="527">
        <v>50000</v>
      </c>
      <c r="H458" s="373"/>
      <c r="I458" s="527">
        <v>0</v>
      </c>
      <c r="J458" s="353"/>
      <c r="K458" s="353"/>
      <c r="L458" s="502"/>
      <c r="M458" s="502"/>
    </row>
    <row r="459" spans="1:13" s="364" customFormat="1" ht="16.5" customHeight="1">
      <c r="A459" s="502"/>
      <c r="B459" s="373" t="s">
        <v>1134</v>
      </c>
      <c r="C459" s="373"/>
      <c r="D459" s="502"/>
      <c r="E459" s="373"/>
      <c r="F459" s="373"/>
      <c r="G459" s="527">
        <v>40000</v>
      </c>
      <c r="H459" s="373"/>
      <c r="I459" s="527">
        <v>0</v>
      </c>
      <c r="J459" s="353"/>
      <c r="K459" s="353"/>
      <c r="L459" s="502"/>
      <c r="M459" s="502"/>
    </row>
    <row r="460" spans="1:13" s="364" customFormat="1" ht="16.5" customHeight="1">
      <c r="A460" s="502"/>
      <c r="B460" s="373" t="s">
        <v>1138</v>
      </c>
      <c r="C460" s="373"/>
      <c r="D460" s="502"/>
      <c r="E460" s="373"/>
      <c r="F460" s="373"/>
      <c r="G460" s="527">
        <v>37950</v>
      </c>
      <c r="H460" s="373"/>
      <c r="I460" s="527">
        <v>0</v>
      </c>
      <c r="J460" s="353"/>
      <c r="K460" s="353"/>
      <c r="L460" s="502"/>
      <c r="M460" s="502"/>
    </row>
    <row r="461" spans="1:13" s="364" customFormat="1" ht="16.5" customHeight="1">
      <c r="A461" s="502"/>
      <c r="B461" s="373" t="s">
        <v>1139</v>
      </c>
      <c r="C461" s="373"/>
      <c r="D461" s="502"/>
      <c r="E461" s="373"/>
      <c r="F461" s="373"/>
      <c r="G461" s="527">
        <v>69310</v>
      </c>
      <c r="H461" s="373"/>
      <c r="I461" s="527">
        <v>0</v>
      </c>
      <c r="J461" s="353"/>
      <c r="K461" s="353"/>
      <c r="L461" s="502"/>
      <c r="M461" s="502"/>
    </row>
    <row r="462" spans="1:13" s="364" customFormat="1" ht="16.5" customHeight="1">
      <c r="A462" s="502"/>
      <c r="B462" s="373" t="s">
        <v>1028</v>
      </c>
      <c r="C462" s="373"/>
      <c r="D462" s="502"/>
      <c r="E462" s="373"/>
      <c r="F462" s="373"/>
      <c r="G462" s="527">
        <v>0</v>
      </c>
      <c r="H462" s="373"/>
      <c r="I462" s="527">
        <v>30000</v>
      </c>
      <c r="J462" s="353"/>
      <c r="K462" s="353"/>
      <c r="L462" s="502"/>
      <c r="M462" s="502"/>
    </row>
    <row r="463" spans="1:13" s="364" customFormat="1" ht="15">
      <c r="A463" s="502"/>
      <c r="B463" s="373" t="s">
        <v>962</v>
      </c>
      <c r="C463" s="373"/>
      <c r="D463" s="502"/>
      <c r="E463" s="373"/>
      <c r="F463" s="373"/>
      <c r="G463" s="527">
        <v>3675</v>
      </c>
      <c r="H463" s="373"/>
      <c r="I463" s="527">
        <v>7700</v>
      </c>
      <c r="J463" s="353"/>
      <c r="K463" s="353"/>
      <c r="L463" s="502"/>
      <c r="M463" s="502"/>
    </row>
    <row r="464" spans="1:13" s="502" customFormat="1" ht="15">
      <c r="B464" s="373" t="s">
        <v>1055</v>
      </c>
      <c r="C464" s="373"/>
      <c r="E464" s="373"/>
      <c r="F464" s="373"/>
      <c r="G464" s="527">
        <v>40958</v>
      </c>
      <c r="H464" s="373"/>
      <c r="I464" s="527"/>
      <c r="J464" s="373"/>
      <c r="K464" s="373"/>
    </row>
    <row r="465" spans="1:15" s="364" customFormat="1" ht="16.5" customHeight="1">
      <c r="A465" s="502"/>
      <c r="B465" s="373" t="s">
        <v>963</v>
      </c>
      <c r="C465" s="373"/>
      <c r="D465" s="502"/>
      <c r="E465" s="373"/>
      <c r="F465" s="373"/>
      <c r="G465" s="610">
        <v>0</v>
      </c>
      <c r="H465" s="373"/>
      <c r="I465" s="527">
        <v>37260</v>
      </c>
      <c r="J465" s="353"/>
      <c r="K465" s="353"/>
      <c r="L465" s="502"/>
      <c r="M465" s="502"/>
    </row>
    <row r="466" spans="1:15" s="364" customFormat="1" ht="16.5" customHeight="1">
      <c r="A466" s="502"/>
      <c r="B466" s="373" t="s">
        <v>1130</v>
      </c>
      <c r="C466" s="373"/>
      <c r="D466" s="502"/>
      <c r="E466" s="373"/>
      <c r="F466" s="373"/>
      <c r="G466" s="527">
        <v>37260</v>
      </c>
      <c r="H466" s="373"/>
      <c r="I466" s="527">
        <v>0</v>
      </c>
      <c r="J466" s="353"/>
      <c r="K466" s="353"/>
      <c r="L466" s="502"/>
      <c r="M466" s="502"/>
    </row>
    <row r="467" spans="1:15" s="364" customFormat="1" ht="16.5" customHeight="1">
      <c r="A467" s="502"/>
      <c r="B467" s="373" t="s">
        <v>1066</v>
      </c>
      <c r="C467" s="373"/>
      <c r="D467" s="502"/>
      <c r="E467" s="373"/>
      <c r="F467" s="373"/>
      <c r="G467" s="527">
        <v>3800000</v>
      </c>
      <c r="H467" s="373"/>
      <c r="I467" s="527">
        <v>0</v>
      </c>
      <c r="J467" s="353"/>
      <c r="K467" s="353"/>
      <c r="L467" s="502"/>
      <c r="M467" s="502"/>
      <c r="O467" s="449">
        <f>G472-139935495</f>
        <v>73987698.970000029</v>
      </c>
    </row>
    <row r="468" spans="1:15" s="364" customFormat="1" ht="16.5" customHeight="1">
      <c r="A468" s="502"/>
      <c r="B468" s="373" t="s">
        <v>1243</v>
      </c>
      <c r="C468" s="373"/>
      <c r="D468" s="502"/>
      <c r="E468" s="373"/>
      <c r="F468" s="373"/>
      <c r="G468" s="527">
        <f>3329988</f>
        <v>3329988</v>
      </c>
      <c r="H468" s="373"/>
      <c r="I468" s="527"/>
      <c r="J468" s="353"/>
      <c r="K468" s="353"/>
      <c r="L468" s="502"/>
      <c r="M468" s="502"/>
      <c r="O468" s="449"/>
    </row>
    <row r="469" spans="1:15" s="364" customFormat="1" ht="16.5" customHeight="1">
      <c r="A469" s="502"/>
      <c r="B469" s="373" t="s">
        <v>1140</v>
      </c>
      <c r="C469" s="373"/>
      <c r="D469" s="502"/>
      <c r="E469" s="373"/>
      <c r="F469" s="373"/>
      <c r="G469" s="527">
        <v>38812</v>
      </c>
      <c r="H469" s="373"/>
      <c r="I469" s="527">
        <v>0</v>
      </c>
      <c r="J469" s="353"/>
      <c r="K469" s="353"/>
      <c r="L469" s="502"/>
      <c r="M469" s="502"/>
      <c r="O469" s="449"/>
    </row>
    <row r="470" spans="1:15" s="364" customFormat="1" ht="16.5" customHeight="1">
      <c r="A470" s="502"/>
      <c r="B470" s="373" t="s">
        <v>1141</v>
      </c>
      <c r="C470" s="373"/>
      <c r="D470" s="502"/>
      <c r="E470" s="373"/>
      <c r="F470" s="373"/>
      <c r="G470" s="527">
        <v>91753</v>
      </c>
      <c r="H470" s="373"/>
      <c r="I470" s="527">
        <v>0</v>
      </c>
      <c r="J470" s="353"/>
      <c r="K470" s="353"/>
      <c r="L470" s="502"/>
      <c r="M470" s="502"/>
      <c r="O470" s="449"/>
    </row>
    <row r="471" spans="1:15" s="364" customFormat="1" ht="16.5" customHeight="1">
      <c r="A471" s="502"/>
      <c r="B471" s="373" t="s">
        <v>964</v>
      </c>
      <c r="C471" s="373"/>
      <c r="D471" s="502"/>
      <c r="E471" s="373"/>
      <c r="F471" s="373"/>
      <c r="G471" s="514">
        <v>0</v>
      </c>
      <c r="H471" s="373"/>
      <c r="I471" s="514">
        <v>22066</v>
      </c>
      <c r="J471" s="353"/>
      <c r="K471" s="353"/>
      <c r="L471" s="502"/>
      <c r="M471" s="502"/>
    </row>
    <row r="472" spans="1:15" s="364" customFormat="1" ht="16.5" customHeight="1" thickBot="1">
      <c r="E472" s="353"/>
      <c r="F472" s="353"/>
      <c r="G472" s="529">
        <f>SUM(G409:G471)</f>
        <v>213923193.97000003</v>
      </c>
      <c r="H472" s="353"/>
      <c r="I472" s="529">
        <f>SUM(I409:I471)</f>
        <v>110593467.96000001</v>
      </c>
      <c r="J472" s="353"/>
      <c r="K472" s="353"/>
      <c r="L472" s="502"/>
      <c r="N472" s="449">
        <v>198711712.73999998</v>
      </c>
      <c r="O472" s="449">
        <f>G472-N472</f>
        <v>15211481.230000049</v>
      </c>
    </row>
    <row r="473" spans="1:15" s="364" customFormat="1" ht="6.75" customHeight="1" thickTop="1">
      <c r="E473" s="353"/>
      <c r="F473" s="353"/>
      <c r="G473" s="353"/>
      <c r="H473" s="353"/>
      <c r="I473" s="448"/>
      <c r="J473" s="353"/>
      <c r="K473" s="353"/>
      <c r="L473" s="502"/>
    </row>
    <row r="474" spans="1:15" s="364" customFormat="1" ht="6.75" customHeight="1">
      <c r="E474" s="353"/>
      <c r="F474" s="353"/>
      <c r="G474" s="353"/>
      <c r="H474" s="353"/>
      <c r="I474" s="448"/>
      <c r="J474" s="353"/>
      <c r="K474" s="353"/>
      <c r="L474" s="502"/>
    </row>
    <row r="475" spans="1:15" s="364" customFormat="1" ht="15">
      <c r="A475" s="513" t="s">
        <v>1186</v>
      </c>
      <c r="B475" s="364" t="s">
        <v>1184</v>
      </c>
      <c r="D475" s="502"/>
      <c r="G475" s="448"/>
      <c r="H475" s="502"/>
      <c r="I475" s="448"/>
      <c r="J475" s="353"/>
      <c r="K475" s="353"/>
      <c r="L475" s="502"/>
    </row>
    <row r="476" spans="1:15" s="364" customFormat="1" ht="15">
      <c r="D476" s="502"/>
      <c r="G476" s="448"/>
      <c r="H476" s="502"/>
      <c r="I476" s="448"/>
      <c r="J476" s="353"/>
      <c r="K476" s="353"/>
      <c r="L476" s="502"/>
      <c r="O476" s="449">
        <f>G472-137493774</f>
        <v>76429419.970000029</v>
      </c>
    </row>
    <row r="477" spans="1:15" s="364" customFormat="1" ht="15">
      <c r="B477" s="364" t="s">
        <v>1185</v>
      </c>
      <c r="D477" s="502"/>
      <c r="G477" s="448"/>
      <c r="H477" s="502"/>
      <c r="I477" s="448"/>
      <c r="J477" s="353"/>
      <c r="K477" s="353"/>
      <c r="L477" s="502"/>
    </row>
    <row r="478" spans="1:15" s="364" customFormat="1" ht="15">
      <c r="D478" s="502"/>
      <c r="G478" s="448"/>
      <c r="H478" s="502"/>
      <c r="I478" s="448"/>
      <c r="J478" s="353"/>
      <c r="K478" s="353"/>
      <c r="L478" s="502"/>
    </row>
    <row r="479" spans="1:15" s="364" customFormat="1" ht="15">
      <c r="B479" s="364" t="s">
        <v>1101</v>
      </c>
      <c r="D479" s="502"/>
      <c r="G479" s="575">
        <f>41906382+3329988</f>
        <v>45236370</v>
      </c>
      <c r="H479" s="502"/>
      <c r="I479" s="575">
        <v>33611532</v>
      </c>
      <c r="J479" s="353"/>
      <c r="K479" s="353"/>
      <c r="L479" s="502"/>
      <c r="O479" s="448">
        <v>12470512</v>
      </c>
    </row>
    <row r="480" spans="1:15" s="364" customFormat="1" ht="15">
      <c r="B480" s="364" t="s">
        <v>1102</v>
      </c>
      <c r="D480" s="502"/>
      <c r="G480" s="613">
        <v>18749357</v>
      </c>
      <c r="H480" s="502"/>
      <c r="I480" s="613">
        <v>18519704</v>
      </c>
      <c r="J480" s="353"/>
      <c r="K480" s="353"/>
      <c r="L480" s="502"/>
      <c r="O480" s="449">
        <f>G472-O479</f>
        <v>201452681.97000003</v>
      </c>
    </row>
    <row r="481" spans="1:14" s="364" customFormat="1" ht="15">
      <c r="B481" s="364" t="s">
        <v>1103</v>
      </c>
      <c r="D481" s="502"/>
      <c r="G481" s="613">
        <f>109021118+0.45</f>
        <v>109021118.45</v>
      </c>
      <c r="H481" s="502"/>
      <c r="I481" s="613">
        <v>29164894</v>
      </c>
      <c r="J481" s="353"/>
      <c r="K481" s="353"/>
      <c r="L481" s="502"/>
    </row>
    <row r="482" spans="1:14" s="364" customFormat="1" ht="15">
      <c r="B482" s="364" t="s">
        <v>1104</v>
      </c>
      <c r="D482" s="502"/>
      <c r="G482" s="576">
        <f>40916348+0.45</f>
        <v>40916348.450000003</v>
      </c>
      <c r="H482" s="502"/>
      <c r="I482" s="576">
        <f>29303969+3890-10521</f>
        <v>29297338</v>
      </c>
      <c r="J482" s="353"/>
      <c r="K482" s="353"/>
      <c r="L482" s="502"/>
    </row>
    <row r="483" spans="1:14" s="364" customFormat="1" ht="15.75" thickBot="1">
      <c r="D483" s="502"/>
      <c r="G483" s="529">
        <f>SUM(G479:G482)</f>
        <v>213923193.89999998</v>
      </c>
      <c r="H483" s="502"/>
      <c r="I483" s="522">
        <f>SUM(I479:I482)</f>
        <v>110593468</v>
      </c>
      <c r="J483" s="353"/>
      <c r="K483" s="353"/>
      <c r="L483" s="502"/>
    </row>
    <row r="484" spans="1:14" s="364" customFormat="1" ht="15.75" thickTop="1">
      <c r="E484" s="353"/>
      <c r="F484" s="353"/>
      <c r="G484" s="353"/>
      <c r="H484" s="353"/>
      <c r="I484" s="448"/>
      <c r="J484" s="353"/>
      <c r="K484" s="353"/>
      <c r="L484" s="502"/>
    </row>
    <row r="485" spans="1:14" s="364" customFormat="1" ht="15">
      <c r="E485" s="353"/>
      <c r="F485" s="353"/>
      <c r="G485" s="353"/>
      <c r="H485" s="353"/>
      <c r="I485" s="448"/>
      <c r="J485" s="353"/>
      <c r="K485" s="353"/>
      <c r="L485" s="502"/>
    </row>
    <row r="486" spans="1:14" s="364" customFormat="1" ht="16.5" customHeight="1">
      <c r="A486" s="369" t="s">
        <v>802</v>
      </c>
      <c r="B486" s="353" t="s">
        <v>13</v>
      </c>
      <c r="C486" s="353"/>
      <c r="D486" s="353"/>
      <c r="E486" s="353"/>
      <c r="F486" s="353"/>
      <c r="G486" s="550"/>
      <c r="H486" s="353"/>
      <c r="I486" s="353"/>
      <c r="J486" s="353"/>
      <c r="K486" s="353"/>
      <c r="L486" s="373"/>
      <c r="M486" s="72"/>
      <c r="N486" s="527">
        <v>37392364.68</v>
      </c>
    </row>
    <row r="487" spans="1:14" s="364" customFormat="1" ht="15">
      <c r="A487" s="353"/>
      <c r="B487" s="353"/>
      <c r="C487" s="353"/>
      <c r="D487" s="353"/>
      <c r="E487" s="353"/>
      <c r="F487" s="353"/>
      <c r="H487" s="353"/>
      <c r="I487" s="353"/>
      <c r="J487" s="353"/>
      <c r="K487" s="353"/>
      <c r="M487" s="72"/>
    </row>
    <row r="488" spans="1:14" s="364" customFormat="1" ht="13.5" customHeight="1">
      <c r="B488" s="362" t="s">
        <v>159</v>
      </c>
      <c r="C488" s="362"/>
      <c r="D488" s="362"/>
      <c r="E488" s="362"/>
      <c r="F488" s="362"/>
      <c r="G488" s="562">
        <f>323622563</f>
        <v>323622563</v>
      </c>
      <c r="H488" s="362"/>
      <c r="I488" s="562">
        <v>299126594.16645938</v>
      </c>
      <c r="J488" s="362"/>
      <c r="K488" s="511"/>
      <c r="L488" s="72"/>
      <c r="M488" s="72"/>
      <c r="N488" s="449">
        <f>SUM(N472:N486)</f>
        <v>236104077.41999999</v>
      </c>
    </row>
    <row r="489" spans="1:14" s="364" customFormat="1" ht="16.5" customHeight="1">
      <c r="B489" s="362" t="s">
        <v>179</v>
      </c>
      <c r="C489" s="362"/>
      <c r="E489" s="611"/>
      <c r="F489" s="362"/>
      <c r="G489" s="591" t="e">
        <f>#REF!</f>
        <v>#REF!</v>
      </c>
      <c r="H489" s="362"/>
      <c r="I489" s="591">
        <f>6150278+18345691</f>
        <v>24495969</v>
      </c>
      <c r="J489" s="362"/>
      <c r="K489" s="511"/>
      <c r="L489" s="72"/>
      <c r="M489" s="72"/>
    </row>
    <row r="490" spans="1:14" s="364" customFormat="1" ht="15">
      <c r="B490" s="511" t="s">
        <v>748</v>
      </c>
      <c r="C490" s="511" t="s">
        <v>1117</v>
      </c>
      <c r="D490" s="362"/>
      <c r="E490" s="362"/>
      <c r="F490" s="362"/>
      <c r="G490" s="628">
        <v>0</v>
      </c>
      <c r="H490" s="362"/>
      <c r="I490" s="628">
        <v>0</v>
      </c>
      <c r="J490" s="362"/>
      <c r="K490" s="362"/>
      <c r="L490" s="72"/>
      <c r="M490" s="74"/>
    </row>
    <row r="491" spans="1:14" s="364" customFormat="1" ht="24" customHeight="1" thickBot="1">
      <c r="A491" s="362"/>
      <c r="B491" s="362"/>
      <c r="C491" s="362"/>
      <c r="D491" s="362"/>
      <c r="E491" s="362"/>
      <c r="F491" s="362"/>
      <c r="G491" s="573" t="e">
        <f>G488+G489-G490</f>
        <v>#REF!</v>
      </c>
      <c r="H491" s="362"/>
      <c r="I491" s="573">
        <f>I488+I489-I490</f>
        <v>323622563.16645938</v>
      </c>
      <c r="J491" s="362"/>
      <c r="K491" s="362"/>
      <c r="L491" s="72"/>
      <c r="M491" s="536"/>
    </row>
    <row r="492" spans="1:14" s="364" customFormat="1" ht="9" customHeight="1" thickTop="1">
      <c r="A492" s="362"/>
      <c r="B492" s="362"/>
      <c r="C492" s="362"/>
      <c r="D492" s="362"/>
      <c r="E492" s="362"/>
      <c r="F492" s="362"/>
      <c r="G492" s="362"/>
      <c r="H492" s="362"/>
      <c r="I492" s="362"/>
      <c r="J492" s="362"/>
      <c r="K492" s="362"/>
      <c r="L492" s="72"/>
      <c r="M492" s="536"/>
    </row>
    <row r="493" spans="1:14" s="364" customFormat="1" ht="200.25" customHeight="1">
      <c r="A493" s="808" t="s">
        <v>1224</v>
      </c>
      <c r="B493" s="808"/>
      <c r="C493" s="808"/>
      <c r="D493" s="808"/>
      <c r="E493" s="808"/>
      <c r="F493" s="808"/>
      <c r="G493" s="808"/>
      <c r="H493" s="808"/>
      <c r="I493" s="808"/>
      <c r="J493" s="808"/>
      <c r="K493" s="808"/>
      <c r="L493" s="537"/>
      <c r="M493" s="72"/>
    </row>
    <row r="494" spans="1:14" s="364" customFormat="1" ht="8.25" customHeight="1">
      <c r="A494" s="418"/>
      <c r="B494" s="418"/>
      <c r="C494" s="418"/>
      <c r="D494" s="418"/>
      <c r="E494" s="418"/>
      <c r="F494" s="418"/>
      <c r="G494" s="418"/>
      <c r="H494" s="418"/>
      <c r="I494" s="418"/>
      <c r="J494" s="418"/>
      <c r="K494" s="418"/>
      <c r="L494" s="419"/>
    </row>
    <row r="495" spans="1:14" s="364" customFormat="1" ht="16.5" customHeight="1">
      <c r="A495" s="369" t="s">
        <v>682</v>
      </c>
      <c r="B495" s="420" t="s">
        <v>678</v>
      </c>
      <c r="C495" s="419"/>
      <c r="D495" s="419"/>
      <c r="E495" s="419"/>
      <c r="F495" s="419"/>
      <c r="G495" s="419"/>
      <c r="H495" s="419"/>
      <c r="I495" s="419"/>
      <c r="J495" s="419"/>
      <c r="K495" s="419"/>
      <c r="M495" s="502"/>
    </row>
    <row r="496" spans="1:14" s="364" customFormat="1" ht="16.5" customHeight="1">
      <c r="B496" s="362" t="s">
        <v>159</v>
      </c>
      <c r="C496" s="419"/>
      <c r="D496" s="419"/>
      <c r="E496" s="419"/>
      <c r="F496" s="419"/>
      <c r="G496" s="562">
        <f>I500</f>
        <v>14693423</v>
      </c>
      <c r="H496" s="419"/>
      <c r="I496" s="562">
        <v>19475633.399999999</v>
      </c>
      <c r="J496" s="419"/>
      <c r="K496" s="419"/>
      <c r="M496" s="502"/>
    </row>
    <row r="497" spans="1:22" s="364" customFormat="1" ht="16.5" customHeight="1">
      <c r="B497" s="362" t="s">
        <v>179</v>
      </c>
      <c r="C497" s="419"/>
      <c r="D497" s="419"/>
      <c r="E497" s="419"/>
      <c r="F497" s="419"/>
      <c r="G497" s="563">
        <f>SOPL!H43</f>
        <v>11128732.428431708</v>
      </c>
      <c r="H497" s="419"/>
      <c r="I497" s="514">
        <v>14693423</v>
      </c>
      <c r="J497" s="419"/>
      <c r="K497" s="419"/>
      <c r="L497" s="502"/>
    </row>
    <row r="498" spans="1:22" s="364" customFormat="1" ht="16.5" customHeight="1">
      <c r="B498" s="362"/>
      <c r="C498" s="419"/>
      <c r="D498" s="419"/>
      <c r="E498" s="419"/>
      <c r="F498" s="419"/>
      <c r="G498" s="373">
        <f>SUM(G496:G497)</f>
        <v>25822155.428431708</v>
      </c>
      <c r="H498" s="419"/>
      <c r="I498" s="373">
        <f>SUM(I496:I497)-0.4</f>
        <v>34169056</v>
      </c>
      <c r="J498" s="419"/>
      <c r="K498" s="419"/>
      <c r="L498" s="502"/>
    </row>
    <row r="499" spans="1:22" s="364" customFormat="1" ht="16.5" customHeight="1">
      <c r="B499" s="511" t="s">
        <v>1118</v>
      </c>
      <c r="C499" s="419"/>
      <c r="D499" s="419"/>
      <c r="E499" s="419"/>
      <c r="F499" s="419"/>
      <c r="G499" s="448">
        <f>14693423</f>
        <v>14693423</v>
      </c>
      <c r="H499" s="419"/>
      <c r="I499" s="448">
        <v>19475633</v>
      </c>
      <c r="J499" s="419"/>
      <c r="K499" s="419"/>
      <c r="L499" s="502"/>
    </row>
    <row r="500" spans="1:22" s="364" customFormat="1" ht="16.5" customHeight="1" thickBot="1">
      <c r="A500" s="420"/>
      <c r="B500" s="419"/>
      <c r="C500" s="419"/>
      <c r="D500" s="419"/>
      <c r="E500" s="419"/>
      <c r="F500" s="419"/>
      <c r="G500" s="573">
        <f>G498-G499</f>
        <v>11128732.428431708</v>
      </c>
      <c r="H500" s="419"/>
      <c r="I500" s="573">
        <f>I498-I499</f>
        <v>14693423</v>
      </c>
      <c r="J500" s="419"/>
      <c r="K500" s="419"/>
      <c r="N500" s="500"/>
    </row>
    <row r="501" spans="1:22" s="364" customFormat="1" ht="3.75" customHeight="1" thickTop="1">
      <c r="A501" s="420"/>
      <c r="B501" s="419"/>
      <c r="C501" s="419"/>
      <c r="D501" s="419"/>
      <c r="E501" s="419"/>
      <c r="F501" s="419"/>
      <c r="G501" s="419"/>
      <c r="H501" s="419"/>
      <c r="I501" s="419"/>
      <c r="J501" s="419"/>
      <c r="K501" s="419"/>
    </row>
    <row r="502" spans="1:22" s="364" customFormat="1" ht="20.25" customHeight="1">
      <c r="A502" s="369" t="s">
        <v>652</v>
      </c>
      <c r="B502" s="364" t="s">
        <v>503</v>
      </c>
      <c r="M502" s="599"/>
      <c r="O502" s="449"/>
    </row>
    <row r="503" spans="1:22" s="364" customFormat="1" ht="6.75" customHeight="1">
      <c r="A503" s="369"/>
      <c r="M503" s="599"/>
    </row>
    <row r="504" spans="1:22" s="364" customFormat="1" ht="16.5" customHeight="1">
      <c r="A504" s="369"/>
      <c r="B504" s="364" t="s">
        <v>788</v>
      </c>
      <c r="G504" s="448">
        <f>98694737.85-18918234.86+443791241+525980.95-572950.45+159201+103291.15+103291.15-158571</f>
        <v>523727986.78999996</v>
      </c>
      <c r="I504" s="448">
        <f>361877178+29585231.59-3000</f>
        <v>391459409.58999997</v>
      </c>
      <c r="L504" s="599"/>
      <c r="M504" s="599"/>
      <c r="N504" s="500">
        <v>79961108.989999995</v>
      </c>
      <c r="O504" s="500">
        <v>446144687.72000003</v>
      </c>
      <c r="P504" s="449">
        <f>N504+O504</f>
        <v>526105796.71000004</v>
      </c>
      <c r="R504" s="364" t="s">
        <v>1216</v>
      </c>
      <c r="V504" s="364">
        <v>159201</v>
      </c>
    </row>
    <row r="505" spans="1:22" s="364" customFormat="1" ht="16.5" customHeight="1">
      <c r="A505" s="369"/>
      <c r="B505" s="364" t="s">
        <v>789</v>
      </c>
      <c r="G505" s="448">
        <f>3289618+18918234.86-9420-6315-940-1678696-17325-115397.65-1416743.28-5959-5538-33284+1132710</f>
        <v>20050944.93</v>
      </c>
      <c r="I505" s="448">
        <f>46915419+57350+2528035+14100+14969257-9114952-1486338</f>
        <v>53882871</v>
      </c>
      <c r="L505" s="599"/>
      <c r="M505" s="599"/>
      <c r="N505" s="500">
        <v>18918234.859999999</v>
      </c>
      <c r="O505" s="500">
        <v>3289617.9299999997</v>
      </c>
      <c r="P505" s="449">
        <f>N505+O505</f>
        <v>22207852.789999999</v>
      </c>
    </row>
    <row r="506" spans="1:22" s="364" customFormat="1" ht="16.5" customHeight="1" thickBot="1">
      <c r="G506" s="522">
        <f>G504+G505</f>
        <v>543778931.71999991</v>
      </c>
      <c r="I506" s="522">
        <f>I504+I505</f>
        <v>445342280.58999997</v>
      </c>
      <c r="L506" s="599"/>
      <c r="M506" s="409"/>
    </row>
    <row r="507" spans="1:22" s="364" customFormat="1" ht="3" customHeight="1" thickTop="1">
      <c r="L507" s="599"/>
      <c r="M507" s="409"/>
    </row>
    <row r="508" spans="1:22" s="364" customFormat="1" ht="73.5" customHeight="1">
      <c r="B508" s="809" t="s">
        <v>1242</v>
      </c>
      <c r="C508" s="809"/>
      <c r="D508" s="809"/>
      <c r="E508" s="809"/>
      <c r="F508" s="809"/>
      <c r="G508" s="809"/>
      <c r="H508" s="809"/>
      <c r="I508" s="809"/>
      <c r="J508" s="809"/>
      <c r="K508" s="809"/>
      <c r="L508" s="395"/>
    </row>
    <row r="509" spans="1:22" s="364" customFormat="1" ht="5.25" customHeight="1">
      <c r="B509" s="395"/>
      <c r="C509" s="395"/>
      <c r="D509" s="395"/>
      <c r="E509" s="395"/>
      <c r="F509" s="395"/>
      <c r="G509" s="395"/>
      <c r="H509" s="395"/>
      <c r="I509" s="395"/>
      <c r="J509" s="395"/>
      <c r="K509" s="395"/>
      <c r="L509" s="395"/>
    </row>
    <row r="510" spans="1:22" s="364" customFormat="1" ht="16.5" customHeight="1">
      <c r="A510" s="369" t="s">
        <v>653</v>
      </c>
      <c r="B510" s="383" t="s">
        <v>685</v>
      </c>
      <c r="C510" s="383"/>
      <c r="D510" s="383"/>
      <c r="E510" s="383"/>
      <c r="F510" s="383"/>
      <c r="G510" s="383"/>
      <c r="H510" s="383"/>
      <c r="I510" s="383"/>
      <c r="J510" s="383"/>
      <c r="K510" s="383"/>
    </row>
    <row r="511" spans="1:22" s="364" customFormat="1" ht="16.5" customHeight="1">
      <c r="A511" s="364" t="s">
        <v>1148</v>
      </c>
      <c r="B511" s="364" t="s">
        <v>631</v>
      </c>
      <c r="D511" s="512"/>
      <c r="G511" s="612">
        <f>4923000-123000</f>
        <v>4800000</v>
      </c>
      <c r="I511" s="612">
        <f>4923000-123000</f>
        <v>4800000</v>
      </c>
      <c r="L511" s="568"/>
      <c r="M511" s="568"/>
    </row>
    <row r="512" spans="1:22" s="364" customFormat="1" ht="16.5" customHeight="1">
      <c r="B512" s="364" t="s">
        <v>569</v>
      </c>
      <c r="G512" s="527">
        <v>69000</v>
      </c>
      <c r="I512" s="527">
        <f>379500-287500+23000</f>
        <v>115000</v>
      </c>
      <c r="M512" s="568"/>
    </row>
    <row r="513" spans="1:13" s="364" customFormat="1" ht="16.5" customHeight="1">
      <c r="B513" s="364" t="s">
        <v>913</v>
      </c>
      <c r="G513" s="527">
        <v>927887</v>
      </c>
      <c r="I513" s="527">
        <v>331460</v>
      </c>
      <c r="M513" s="568"/>
    </row>
    <row r="514" spans="1:13" s="364" customFormat="1" ht="16.5" customHeight="1">
      <c r="B514" s="364" t="s">
        <v>570</v>
      </c>
      <c r="G514" s="519">
        <v>19350</v>
      </c>
      <c r="I514" s="519">
        <v>41602</v>
      </c>
      <c r="L514" s="568"/>
    </row>
    <row r="515" spans="1:13" s="364" customFormat="1" ht="16.5" customHeight="1">
      <c r="B515" s="380" t="s">
        <v>534</v>
      </c>
      <c r="C515" s="380"/>
      <c r="D515" s="380"/>
      <c r="E515" s="380"/>
      <c r="F515" s="380"/>
      <c r="G515" s="519">
        <v>236164</v>
      </c>
      <c r="H515" s="380"/>
      <c r="I515" s="519">
        <v>416838</v>
      </c>
      <c r="J515" s="380"/>
      <c r="K515" s="380"/>
      <c r="L515" s="568"/>
      <c r="M515" s="502"/>
    </row>
    <row r="516" spans="1:13" s="364" customFormat="1" ht="16.5" customHeight="1">
      <c r="B516" s="380" t="s">
        <v>837</v>
      </c>
      <c r="C516" s="380"/>
      <c r="D516" s="380"/>
      <c r="E516" s="380"/>
      <c r="F516" s="380"/>
      <c r="G516" s="519">
        <v>9364</v>
      </c>
      <c r="H516" s="380"/>
      <c r="I516" s="519">
        <v>9364</v>
      </c>
      <c r="J516" s="380"/>
      <c r="K516" s="380"/>
      <c r="L516" s="568"/>
      <c r="M516" s="502"/>
    </row>
    <row r="517" spans="1:13" s="364" customFormat="1" ht="16.5" customHeight="1">
      <c r="B517" s="420" t="s">
        <v>905</v>
      </c>
      <c r="C517" s="419"/>
      <c r="D517" s="419"/>
      <c r="E517" s="419"/>
      <c r="F517" s="419"/>
      <c r="G517" s="519">
        <v>218909724</v>
      </c>
      <c r="H517" s="419"/>
      <c r="I517" s="613">
        <v>139665823.46083331</v>
      </c>
      <c r="J517" s="380"/>
      <c r="K517" s="380"/>
      <c r="L517" s="568"/>
      <c r="M517" s="502"/>
    </row>
    <row r="518" spans="1:13" ht="16.5" customHeight="1" thickBot="1">
      <c r="A518" s="364"/>
      <c r="B518" s="362"/>
      <c r="C518" s="362"/>
      <c r="D518" s="362"/>
      <c r="E518" s="362"/>
      <c r="F518" s="362"/>
      <c r="G518" s="614">
        <f>SUM(G511:G517)</f>
        <v>224971489</v>
      </c>
      <c r="H518" s="362"/>
      <c r="I518" s="522">
        <f>SUM(I511:I517)</f>
        <v>145380087.46083331</v>
      </c>
      <c r="J518" s="362"/>
      <c r="K518" s="362"/>
      <c r="L518" s="364"/>
    </row>
    <row r="519" spans="1:13" ht="15.75" thickTop="1">
      <c r="A519" s="364"/>
      <c r="B519" s="362"/>
      <c r="C519" s="362"/>
      <c r="D519" s="362"/>
      <c r="E519" s="362"/>
      <c r="F519" s="362"/>
      <c r="G519" s="362"/>
      <c r="H519" s="362"/>
      <c r="I519" s="362"/>
      <c r="J519" s="362"/>
      <c r="K519" s="362"/>
      <c r="L519" s="502"/>
    </row>
  </sheetData>
  <mergeCells count="80">
    <mergeCell ref="G227:I227"/>
    <mergeCell ref="B206:C206"/>
    <mergeCell ref="B207:D207"/>
    <mergeCell ref="B208:D208"/>
    <mergeCell ref="B209:D209"/>
    <mergeCell ref="B232:C232"/>
    <mergeCell ref="B233:C233"/>
    <mergeCell ref="B219:C219"/>
    <mergeCell ref="B210:D210"/>
    <mergeCell ref="B211:D211"/>
    <mergeCell ref="B216:C216"/>
    <mergeCell ref="B217:D217"/>
    <mergeCell ref="B218:C218"/>
    <mergeCell ref="B220:C220"/>
    <mergeCell ref="B230:C230"/>
    <mergeCell ref="B231:C231"/>
    <mergeCell ref="B229:C229"/>
    <mergeCell ref="B221:C221"/>
    <mergeCell ref="B225:I225"/>
    <mergeCell ref="B227:C228"/>
    <mergeCell ref="D227:E227"/>
    <mergeCell ref="G1:I1"/>
    <mergeCell ref="B200:E200"/>
    <mergeCell ref="B199:E199"/>
    <mergeCell ref="A47:C47"/>
    <mergeCell ref="B57:I62"/>
    <mergeCell ref="B91:E91"/>
    <mergeCell ref="B92:E92"/>
    <mergeCell ref="B20:I21"/>
    <mergeCell ref="B45:I45"/>
    <mergeCell ref="B142:I142"/>
    <mergeCell ref="B186:I186"/>
    <mergeCell ref="B197:E197"/>
    <mergeCell ref="B109:I109"/>
    <mergeCell ref="B198:E198"/>
    <mergeCell ref="E339:E340"/>
    <mergeCell ref="I339:I340"/>
    <mergeCell ref="B331:D331"/>
    <mergeCell ref="B329:D329"/>
    <mergeCell ref="B508:K508"/>
    <mergeCell ref="B405:K405"/>
    <mergeCell ref="B368:K368"/>
    <mergeCell ref="A493:K493"/>
    <mergeCell ref="B401:F401"/>
    <mergeCell ref="B398:C398"/>
    <mergeCell ref="B397:E397"/>
    <mergeCell ref="B400:F400"/>
    <mergeCell ref="B342:D342"/>
    <mergeCell ref="G339:G340"/>
    <mergeCell ref="G325:G326"/>
    <mergeCell ref="B271:I273"/>
    <mergeCell ref="E325:E326"/>
    <mergeCell ref="B291:D291"/>
    <mergeCell ref="B292:D293"/>
    <mergeCell ref="G303:G304"/>
    <mergeCell ref="E303:E304"/>
    <mergeCell ref="I303:I304"/>
    <mergeCell ref="B307:D307"/>
    <mergeCell ref="B309:D309"/>
    <mergeCell ref="I325:I326"/>
    <mergeCell ref="B319:D319"/>
    <mergeCell ref="E316:E317"/>
    <mergeCell ref="I316:I317"/>
    <mergeCell ref="J271:K273"/>
    <mergeCell ref="B289:I289"/>
    <mergeCell ref="J289:K289"/>
    <mergeCell ref="G316:G317"/>
    <mergeCell ref="J248:K251"/>
    <mergeCell ref="J252:K252"/>
    <mergeCell ref="B255:I257"/>
    <mergeCell ref="J255:K257"/>
    <mergeCell ref="G239:H239"/>
    <mergeCell ref="B248:I251"/>
    <mergeCell ref="B252:I252"/>
    <mergeCell ref="B242:I245"/>
    <mergeCell ref="B234:C234"/>
    <mergeCell ref="B235:C235"/>
    <mergeCell ref="B236:C236"/>
    <mergeCell ref="B237:C237"/>
    <mergeCell ref="B238:C238"/>
  </mergeCells>
  <hyperlinks>
    <hyperlink ref="B415" r:id="rId1" display="Fiber@Home"/>
  </hyperlinks>
  <pageMargins left="0.56999999999999995" right="0.48" top="0.48" bottom="0.43" header="0.23622047244094499" footer="0.23622047244094499"/>
  <pageSetup paperSize="9" scale="85" firstPageNumber="22" orientation="portrait" useFirstPageNumber="1" r:id="rId2"/>
  <headerFooter>
    <oddFooter>&amp;C&amp;P</oddFooter>
  </headerFooter>
  <rowBreaks count="5" manualBreakCount="5">
    <brk id="69" max="8" man="1"/>
    <brk id="124" max="8" man="1"/>
    <brk id="186" max="8" man="1"/>
    <brk id="245" max="8" man="1"/>
    <brk id="346" max="8" man="1"/>
  </rowBreaks>
</worksheet>
</file>

<file path=xl/worksheets/sheet7.xml><?xml version="1.0" encoding="utf-8"?>
<worksheet xmlns="http://schemas.openxmlformats.org/spreadsheetml/2006/main" xmlns:r="http://schemas.openxmlformats.org/officeDocument/2006/relationships">
  <dimension ref="A1:D11"/>
  <sheetViews>
    <sheetView workbookViewId="0">
      <selection activeCell="A36" sqref="A36"/>
    </sheetView>
  </sheetViews>
  <sheetFormatPr defaultRowHeight="15"/>
  <cols>
    <col min="1" max="1" width="53.85546875" style="407" bestFit="1" customWidth="1"/>
    <col min="2" max="2" width="12.7109375" style="407" bestFit="1" customWidth="1"/>
    <col min="3" max="3" width="19" style="407" bestFit="1" customWidth="1"/>
    <col min="4" max="4" width="11.85546875" style="407" bestFit="1" customWidth="1"/>
    <col min="5" max="16384" width="9.140625" style="407"/>
  </cols>
  <sheetData>
    <row r="1" spans="1:4">
      <c r="A1" s="442" t="s">
        <v>1235</v>
      </c>
    </row>
    <row r="2" spans="1:4">
      <c r="A2" s="442" t="s">
        <v>1236</v>
      </c>
    </row>
    <row r="4" spans="1:4" ht="30">
      <c r="A4" s="487" t="s">
        <v>1237</v>
      </c>
      <c r="B4" s="488" t="s">
        <v>1238</v>
      </c>
      <c r="C4" s="488" t="s">
        <v>1239</v>
      </c>
      <c r="D4" s="488" t="s">
        <v>1240</v>
      </c>
    </row>
    <row r="5" spans="1:4" s="22" customFormat="1">
      <c r="A5" s="489" t="s">
        <v>147</v>
      </c>
      <c r="B5" s="490" t="e">
        <f>#REF!</f>
        <v>#REF!</v>
      </c>
      <c r="C5" s="490">
        <v>1803270.0824382876</v>
      </c>
      <c r="D5" s="443" t="e">
        <f t="shared" ref="D5:D10" si="0">B5-C5</f>
        <v>#REF!</v>
      </c>
    </row>
    <row r="6" spans="1:4" s="22" customFormat="1">
      <c r="A6" s="491" t="s">
        <v>148</v>
      </c>
      <c r="B6" s="490" t="e">
        <f>#REF!</f>
        <v>#REF!</v>
      </c>
      <c r="C6" s="490">
        <v>76787.059784400029</v>
      </c>
      <c r="D6" s="443" t="e">
        <f t="shared" si="0"/>
        <v>#REF!</v>
      </c>
    </row>
    <row r="7" spans="1:4" s="22" customFormat="1">
      <c r="A7" s="491" t="s">
        <v>149</v>
      </c>
      <c r="B7" s="490" t="e">
        <f>#REF!</f>
        <v>#REF!</v>
      </c>
      <c r="C7" s="490">
        <v>217092.26842641138</v>
      </c>
      <c r="D7" s="443" t="e">
        <f t="shared" si="0"/>
        <v>#REF!</v>
      </c>
    </row>
    <row r="8" spans="1:4" s="22" customFormat="1">
      <c r="A8" s="491" t="s">
        <v>572</v>
      </c>
      <c r="B8" s="490" t="e">
        <f>#REF!</f>
        <v>#REF!</v>
      </c>
      <c r="C8" s="490">
        <v>66145.804065000018</v>
      </c>
      <c r="D8" s="443" t="e">
        <f t="shared" si="0"/>
        <v>#REF!</v>
      </c>
    </row>
    <row r="9" spans="1:4" s="22" customFormat="1">
      <c r="A9" s="491" t="s">
        <v>153</v>
      </c>
      <c r="B9" s="490" t="e">
        <f>#REF!</f>
        <v>#REF!</v>
      </c>
      <c r="C9" s="490">
        <v>359366.16690567136</v>
      </c>
      <c r="D9" s="443" t="e">
        <f t="shared" si="0"/>
        <v>#REF!</v>
      </c>
    </row>
    <row r="10" spans="1:4" s="22" customFormat="1">
      <c r="A10" s="491" t="s">
        <v>157</v>
      </c>
      <c r="B10" s="490" t="e">
        <f>#REF!</f>
        <v>#REF!</v>
      </c>
      <c r="C10" s="490">
        <v>65079.617663699995</v>
      </c>
      <c r="D10" s="443" t="e">
        <f t="shared" si="0"/>
        <v>#REF!</v>
      </c>
    </row>
    <row r="11" spans="1:4">
      <c r="A11" s="492" t="s">
        <v>24</v>
      </c>
      <c r="B11" s="490" t="e">
        <f>SUM(B5:B10)</f>
        <v>#REF!</v>
      </c>
      <c r="C11" s="490">
        <f>SUM(C5:C10)</f>
        <v>2587740.9992834702</v>
      </c>
      <c r="D11" s="443" t="e">
        <f>SUM(D5:D10)</f>
        <v>#REF!</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B3:H52"/>
  <sheetViews>
    <sheetView workbookViewId="0">
      <selection activeCell="F53" sqref="F53"/>
    </sheetView>
  </sheetViews>
  <sheetFormatPr defaultRowHeight="15"/>
  <cols>
    <col min="1" max="1" width="9.140625" style="407"/>
    <col min="2" max="2" width="9.7109375" style="407" bestFit="1" customWidth="1"/>
    <col min="3" max="3" width="14.28515625" style="407" bestFit="1" customWidth="1"/>
    <col min="4" max="4" width="12.5703125" style="407" bestFit="1" customWidth="1"/>
    <col min="5" max="5" width="12.42578125" style="407" bestFit="1" customWidth="1"/>
    <col min="6" max="6" width="16.5703125" style="407" bestFit="1" customWidth="1"/>
    <col min="7" max="7" width="10.5703125" style="407" bestFit="1" customWidth="1"/>
    <col min="8" max="16384" width="9.140625" style="407"/>
  </cols>
  <sheetData>
    <row r="3" spans="2:8">
      <c r="B3" s="455" t="s">
        <v>1225</v>
      </c>
      <c r="C3" s="455" t="s">
        <v>124</v>
      </c>
      <c r="D3" s="455" t="s">
        <v>142</v>
      </c>
      <c r="E3" s="455" t="s">
        <v>266</v>
      </c>
      <c r="F3" s="455" t="s">
        <v>1226</v>
      </c>
      <c r="G3" s="455" t="s">
        <v>1227</v>
      </c>
    </row>
    <row r="4" spans="2:8">
      <c r="B4" s="482" t="s">
        <v>1228</v>
      </c>
      <c r="C4" s="443">
        <v>199935.51</v>
      </c>
      <c r="D4" s="483">
        <v>0.08</v>
      </c>
      <c r="E4" s="443">
        <f>C4*D4</f>
        <v>15994.840800000002</v>
      </c>
      <c r="F4" s="443">
        <f>E4</f>
        <v>15994.840800000002</v>
      </c>
      <c r="G4" s="443">
        <f>$C$4-F4</f>
        <v>183940.6692</v>
      </c>
      <c r="H4" s="22"/>
    </row>
    <row r="5" spans="2:8">
      <c r="B5" s="482" t="s">
        <v>1229</v>
      </c>
      <c r="C5" s="443">
        <f>G4</f>
        <v>183940.6692</v>
      </c>
      <c r="D5" s="483">
        <v>0.1</v>
      </c>
      <c r="E5" s="443">
        <f t="shared" ref="E5:E10" si="0">C5*D5</f>
        <v>18394.066920000001</v>
      </c>
      <c r="F5" s="443">
        <f t="shared" ref="F5:F10" si="1">F4+E5</f>
        <v>34388.907720000003</v>
      </c>
      <c r="G5" s="443">
        <f t="shared" ref="G5:G10" si="2">$C$4-F5</f>
        <v>165546.60227999999</v>
      </c>
      <c r="H5" s="22"/>
    </row>
    <row r="6" spans="2:8">
      <c r="B6" s="482" t="s">
        <v>1230</v>
      </c>
      <c r="C6" s="443">
        <f>G5</f>
        <v>165546.60227999999</v>
      </c>
      <c r="D6" s="483">
        <v>0.1</v>
      </c>
      <c r="E6" s="443">
        <f t="shared" si="0"/>
        <v>16554.660228000001</v>
      </c>
      <c r="F6" s="443">
        <f t="shared" si="1"/>
        <v>50943.567948000004</v>
      </c>
      <c r="G6" s="443">
        <f t="shared" si="2"/>
        <v>148991.942052</v>
      </c>
      <c r="H6" s="22"/>
    </row>
    <row r="7" spans="2:8">
      <c r="B7" s="482" t="s">
        <v>1231</v>
      </c>
      <c r="C7" s="443">
        <f>G6</f>
        <v>148991.942052</v>
      </c>
      <c r="D7" s="483">
        <v>0.1</v>
      </c>
      <c r="E7" s="443">
        <f t="shared" si="0"/>
        <v>14899.194205200001</v>
      </c>
      <c r="F7" s="443">
        <f t="shared" si="1"/>
        <v>65842.762153200005</v>
      </c>
      <c r="G7" s="443">
        <f t="shared" si="2"/>
        <v>134092.74784680002</v>
      </c>
      <c r="H7" s="22"/>
    </row>
    <row r="8" spans="2:8">
      <c r="B8" s="482" t="s">
        <v>1232</v>
      </c>
      <c r="C8" s="443">
        <f>G7</f>
        <v>134092.74784680002</v>
      </c>
      <c r="D8" s="483">
        <v>0.1</v>
      </c>
      <c r="E8" s="443">
        <f t="shared" si="0"/>
        <v>13409.274784680003</v>
      </c>
      <c r="F8" s="443">
        <f t="shared" si="1"/>
        <v>79252.03693788001</v>
      </c>
      <c r="G8" s="443">
        <f t="shared" si="2"/>
        <v>120683.47306212</v>
      </c>
      <c r="H8" s="22"/>
    </row>
    <row r="9" spans="2:8">
      <c r="B9" s="482" t="s">
        <v>919</v>
      </c>
      <c r="C9" s="443">
        <f>G8</f>
        <v>120683.47306212</v>
      </c>
      <c r="D9" s="483">
        <v>0.1</v>
      </c>
      <c r="E9" s="443">
        <f t="shared" si="0"/>
        <v>12068.347306212001</v>
      </c>
      <c r="F9" s="443">
        <f t="shared" si="1"/>
        <v>91320.384244092013</v>
      </c>
      <c r="G9" s="443">
        <f t="shared" si="2"/>
        <v>108615.125755908</v>
      </c>
      <c r="H9" s="22"/>
    </row>
    <row r="10" spans="2:8">
      <c r="B10" s="482" t="s">
        <v>1084</v>
      </c>
      <c r="C10" s="443">
        <v>120683</v>
      </c>
      <c r="D10" s="483">
        <v>0.1</v>
      </c>
      <c r="E10" s="443">
        <f t="shared" si="0"/>
        <v>12068.300000000001</v>
      </c>
      <c r="F10" s="443">
        <f t="shared" si="1"/>
        <v>103388.68424409202</v>
      </c>
      <c r="G10" s="443">
        <f t="shared" si="2"/>
        <v>96546.825755907994</v>
      </c>
      <c r="H10" s="22"/>
    </row>
    <row r="11" spans="2:8">
      <c r="B11" s="482"/>
      <c r="C11" s="443"/>
      <c r="D11" s="443"/>
      <c r="E11" s="443">
        <f>SUM(E4:E10)</f>
        <v>103388.68424409202</v>
      </c>
      <c r="F11" s="443"/>
      <c r="G11" s="443"/>
      <c r="H11" s="22"/>
    </row>
    <row r="12" spans="2:8">
      <c r="C12" s="22"/>
      <c r="D12" s="22"/>
      <c r="E12" s="22"/>
      <c r="F12" s="22"/>
      <c r="G12" s="22"/>
      <c r="H12" s="22"/>
    </row>
    <row r="13" spans="2:8">
      <c r="C13" s="22"/>
      <c r="D13" s="22"/>
      <c r="E13" s="22"/>
      <c r="F13" s="22"/>
      <c r="G13" s="22"/>
      <c r="H13" s="22"/>
    </row>
    <row r="14" spans="2:8">
      <c r="B14" s="455" t="s">
        <v>1225</v>
      </c>
      <c r="C14" s="455" t="s">
        <v>124</v>
      </c>
      <c r="D14" s="455" t="s">
        <v>142</v>
      </c>
      <c r="E14" s="455" t="s">
        <v>266</v>
      </c>
      <c r="F14" s="455" t="s">
        <v>1226</v>
      </c>
      <c r="G14" s="455" t="s">
        <v>1227</v>
      </c>
      <c r="H14" s="22"/>
    </row>
    <row r="15" spans="2:8">
      <c r="B15" s="482" t="s">
        <v>1228</v>
      </c>
      <c r="C15" s="443">
        <v>1542468.1</v>
      </c>
      <c r="D15" s="483">
        <v>0.08</v>
      </c>
      <c r="E15" s="443">
        <f>C15*D15</f>
        <v>123397.448</v>
      </c>
      <c r="F15" s="443">
        <f>E15</f>
        <v>123397.448</v>
      </c>
      <c r="G15" s="443">
        <f>$C$15-F15</f>
        <v>1419070.652</v>
      </c>
      <c r="H15" s="22"/>
    </row>
    <row r="16" spans="2:8">
      <c r="B16" s="482" t="s">
        <v>1229</v>
      </c>
      <c r="C16" s="443">
        <f>G15</f>
        <v>1419070.652</v>
      </c>
      <c r="D16" s="483">
        <v>0.1</v>
      </c>
      <c r="E16" s="443">
        <f t="shared" ref="E16:E21" si="3">C16*D16</f>
        <v>141907.06520000001</v>
      </c>
      <c r="F16" s="443">
        <f t="shared" ref="F16:F21" si="4">F15+E16</f>
        <v>265304.51320000004</v>
      </c>
      <c r="G16" s="443">
        <f t="shared" ref="G16:G21" si="5">$C$15-F16</f>
        <v>1277163.5868000002</v>
      </c>
      <c r="H16" s="22"/>
    </row>
    <row r="17" spans="2:8">
      <c r="B17" s="482" t="s">
        <v>1230</v>
      </c>
      <c r="C17" s="443">
        <f>G16</f>
        <v>1277163.5868000002</v>
      </c>
      <c r="D17" s="483">
        <v>0.1</v>
      </c>
      <c r="E17" s="443">
        <f t="shared" si="3"/>
        <v>127716.35868000002</v>
      </c>
      <c r="F17" s="443">
        <f t="shared" si="4"/>
        <v>393020.87188000005</v>
      </c>
      <c r="G17" s="443">
        <f t="shared" si="5"/>
        <v>1149447.2281200001</v>
      </c>
      <c r="H17" s="22"/>
    </row>
    <row r="18" spans="2:8">
      <c r="B18" s="482" t="s">
        <v>1231</v>
      </c>
      <c r="C18" s="443">
        <f>G17</f>
        <v>1149447.2281200001</v>
      </c>
      <c r="D18" s="483">
        <v>0.1</v>
      </c>
      <c r="E18" s="443">
        <f t="shared" si="3"/>
        <v>114944.72281200002</v>
      </c>
      <c r="F18" s="443">
        <f t="shared" si="4"/>
        <v>507965.59469200007</v>
      </c>
      <c r="G18" s="443">
        <f t="shared" si="5"/>
        <v>1034502.505308</v>
      </c>
      <c r="H18" s="22"/>
    </row>
    <row r="19" spans="2:8">
      <c r="B19" s="482" t="s">
        <v>1232</v>
      </c>
      <c r="C19" s="443">
        <f>G18</f>
        <v>1034502.505308</v>
      </c>
      <c r="D19" s="483">
        <v>0.1</v>
      </c>
      <c r="E19" s="443">
        <f t="shared" si="3"/>
        <v>103450.25053080001</v>
      </c>
      <c r="F19" s="443">
        <f t="shared" si="4"/>
        <v>611415.84522280004</v>
      </c>
      <c r="G19" s="443">
        <f t="shared" si="5"/>
        <v>931052.25477720005</v>
      </c>
      <c r="H19" s="22"/>
    </row>
    <row r="20" spans="2:8">
      <c r="B20" s="482" t="s">
        <v>919</v>
      </c>
      <c r="C20" s="443">
        <f>G19</f>
        <v>931052.25477720005</v>
      </c>
      <c r="D20" s="483">
        <v>0.1</v>
      </c>
      <c r="E20" s="443">
        <f t="shared" si="3"/>
        <v>93105.225477720014</v>
      </c>
      <c r="F20" s="443">
        <f t="shared" si="4"/>
        <v>704521.07070052007</v>
      </c>
      <c r="G20" s="443">
        <f t="shared" si="5"/>
        <v>837947.02929948003</v>
      </c>
      <c r="H20" s="22"/>
    </row>
    <row r="21" spans="2:8">
      <c r="B21" s="482" t="s">
        <v>1084</v>
      </c>
      <c r="C21" s="443">
        <f>G19</f>
        <v>931052.25477720005</v>
      </c>
      <c r="D21" s="483">
        <v>0.1</v>
      </c>
      <c r="E21" s="443">
        <f t="shared" si="3"/>
        <v>93105.225477720014</v>
      </c>
      <c r="F21" s="443">
        <f t="shared" si="4"/>
        <v>797626.2961782401</v>
      </c>
      <c r="G21" s="443">
        <f t="shared" si="5"/>
        <v>744841.80382176</v>
      </c>
    </row>
    <row r="22" spans="2:8">
      <c r="B22" s="482"/>
      <c r="C22" s="443"/>
      <c r="D22" s="443"/>
      <c r="E22" s="443">
        <f>SUM(E15:E21)</f>
        <v>797626.2961782401</v>
      </c>
      <c r="F22" s="443"/>
      <c r="G22" s="443"/>
    </row>
    <row r="23" spans="2:8">
      <c r="B23" s="484"/>
      <c r="C23" s="25"/>
      <c r="D23" s="25"/>
      <c r="E23" s="25"/>
      <c r="F23" s="25"/>
      <c r="G23" s="25"/>
    </row>
    <row r="24" spans="2:8" ht="15.75" thickBot="1">
      <c r="B24" s="808" t="s">
        <v>24</v>
      </c>
      <c r="C24" s="808"/>
      <c r="D24" s="808"/>
      <c r="E24" s="34">
        <f>E11+E22</f>
        <v>901014.98042233207</v>
      </c>
    </row>
    <row r="25" spans="2:8" ht="15.75" thickTop="1"/>
    <row r="28" spans="2:8">
      <c r="B28" s="407" t="s">
        <v>1234</v>
      </c>
    </row>
    <row r="30" spans="2:8">
      <c r="B30" s="455" t="s">
        <v>1225</v>
      </c>
      <c r="C30" s="455" t="s">
        <v>124</v>
      </c>
      <c r="D30" s="455" t="s">
        <v>142</v>
      </c>
      <c r="E30" s="455" t="s">
        <v>266</v>
      </c>
      <c r="F30" s="455" t="s">
        <v>1226</v>
      </c>
      <c r="G30" s="455" t="s">
        <v>1227</v>
      </c>
    </row>
    <row r="31" spans="2:8">
      <c r="B31" s="482" t="s">
        <v>1228</v>
      </c>
      <c r="C31" s="443">
        <v>199935.51</v>
      </c>
      <c r="D31" s="483">
        <v>0.2</v>
      </c>
      <c r="E31" s="443">
        <f>C31*D31</f>
        <v>39987.102000000006</v>
      </c>
      <c r="F31" s="443">
        <f>E31</f>
        <v>39987.102000000006</v>
      </c>
      <c r="G31" s="443">
        <f>$C$4-F31</f>
        <v>159948.408</v>
      </c>
    </row>
    <row r="32" spans="2:8">
      <c r="B32" s="482" t="s">
        <v>1229</v>
      </c>
      <c r="C32" s="443">
        <f t="shared" ref="C32:C37" si="6">G31</f>
        <v>159948.408</v>
      </c>
      <c r="D32" s="483">
        <v>0.2</v>
      </c>
      <c r="E32" s="443">
        <f t="shared" ref="E32:E37" si="7">C32*D32</f>
        <v>31989.6816</v>
      </c>
      <c r="F32" s="443">
        <f t="shared" ref="F32:F37" si="8">F31+E32</f>
        <v>71976.78360000001</v>
      </c>
      <c r="G32" s="443">
        <f t="shared" ref="G32:G37" si="9">$C$4-F32</f>
        <v>127958.7264</v>
      </c>
    </row>
    <row r="33" spans="2:7">
      <c r="B33" s="482" t="s">
        <v>1230</v>
      </c>
      <c r="C33" s="443">
        <f t="shared" si="6"/>
        <v>127958.7264</v>
      </c>
      <c r="D33" s="483">
        <v>0.2</v>
      </c>
      <c r="E33" s="443">
        <f t="shared" si="7"/>
        <v>25591.745280000003</v>
      </c>
      <c r="F33" s="443">
        <f t="shared" si="8"/>
        <v>97568.528880000013</v>
      </c>
      <c r="G33" s="443">
        <f t="shared" si="9"/>
        <v>102366.98112</v>
      </c>
    </row>
    <row r="34" spans="2:7">
      <c r="B34" s="482" t="s">
        <v>1231</v>
      </c>
      <c r="C34" s="443">
        <f t="shared" si="6"/>
        <v>102366.98112</v>
      </c>
      <c r="D34" s="483">
        <v>0.2</v>
      </c>
      <c r="E34" s="443">
        <f t="shared" si="7"/>
        <v>20473.396224</v>
      </c>
      <c r="F34" s="443">
        <f t="shared" si="8"/>
        <v>118041.92510400001</v>
      </c>
      <c r="G34" s="443">
        <f t="shared" si="9"/>
        <v>81893.584896</v>
      </c>
    </row>
    <row r="35" spans="2:7">
      <c r="B35" s="482" t="s">
        <v>1232</v>
      </c>
      <c r="C35" s="443">
        <f t="shared" si="6"/>
        <v>81893.584896</v>
      </c>
      <c r="D35" s="483">
        <v>0.2</v>
      </c>
      <c r="E35" s="443">
        <f t="shared" si="7"/>
        <v>16378.7169792</v>
      </c>
      <c r="F35" s="443">
        <f t="shared" si="8"/>
        <v>134420.64208320001</v>
      </c>
      <c r="G35" s="443">
        <f t="shared" si="9"/>
        <v>65514.867916799994</v>
      </c>
    </row>
    <row r="36" spans="2:7">
      <c r="B36" s="482" t="s">
        <v>919</v>
      </c>
      <c r="C36" s="443">
        <f t="shared" si="6"/>
        <v>65514.867916799994</v>
      </c>
      <c r="D36" s="483">
        <v>0.2</v>
      </c>
      <c r="E36" s="443">
        <f t="shared" si="7"/>
        <v>13102.973583359999</v>
      </c>
      <c r="F36" s="443">
        <f t="shared" si="8"/>
        <v>147523.61566656001</v>
      </c>
      <c r="G36" s="443">
        <f t="shared" si="9"/>
        <v>52411.894333439996</v>
      </c>
    </row>
    <row r="37" spans="2:7">
      <c r="B37" s="482" t="s">
        <v>1084</v>
      </c>
      <c r="C37" s="443">
        <f t="shared" si="6"/>
        <v>52411.894333439996</v>
      </c>
      <c r="D37" s="483">
        <v>0.2</v>
      </c>
      <c r="E37" s="443">
        <f t="shared" si="7"/>
        <v>10482.378866687999</v>
      </c>
      <c r="F37" s="443">
        <f t="shared" si="8"/>
        <v>158005.99453324801</v>
      </c>
      <c r="G37" s="443">
        <f t="shared" si="9"/>
        <v>41929.515466751996</v>
      </c>
    </row>
    <row r="38" spans="2:7">
      <c r="B38" s="482"/>
      <c r="C38" s="443"/>
      <c r="D38" s="443"/>
      <c r="E38" s="443">
        <f>SUM(E31:E37)</f>
        <v>158005.99453324801</v>
      </c>
      <c r="F38" s="443"/>
      <c r="G38" s="443"/>
    </row>
    <row r="39" spans="2:7">
      <c r="C39" s="22"/>
      <c r="D39" s="22"/>
      <c r="E39" s="22"/>
      <c r="F39" s="22"/>
      <c r="G39" s="22"/>
    </row>
    <row r="40" spans="2:7">
      <c r="C40" s="22"/>
      <c r="D40" s="22"/>
      <c r="E40" s="22"/>
      <c r="F40" s="22"/>
      <c r="G40" s="22"/>
    </row>
    <row r="41" spans="2:7">
      <c r="B41" s="455" t="s">
        <v>1225</v>
      </c>
      <c r="C41" s="455" t="s">
        <v>124</v>
      </c>
      <c r="D41" s="455" t="s">
        <v>142</v>
      </c>
      <c r="E41" s="455" t="s">
        <v>266</v>
      </c>
      <c r="F41" s="455" t="s">
        <v>1226</v>
      </c>
      <c r="G41" s="455" t="s">
        <v>1227</v>
      </c>
    </row>
    <row r="42" spans="2:7">
      <c r="B42" s="482" t="s">
        <v>1228</v>
      </c>
      <c r="C42" s="443">
        <v>1542468.1</v>
      </c>
      <c r="D42" s="483">
        <v>0.2</v>
      </c>
      <c r="E42" s="443">
        <f>C42*D42</f>
        <v>308493.62000000005</v>
      </c>
      <c r="F42" s="443">
        <f>E42</f>
        <v>308493.62000000005</v>
      </c>
      <c r="G42" s="443">
        <f>$C$15-F42</f>
        <v>1233974.48</v>
      </c>
    </row>
    <row r="43" spans="2:7">
      <c r="B43" s="482" t="s">
        <v>1229</v>
      </c>
      <c r="C43" s="443">
        <f t="shared" ref="C43:C48" si="10">G42</f>
        <v>1233974.48</v>
      </c>
      <c r="D43" s="483">
        <v>0.2</v>
      </c>
      <c r="E43" s="443">
        <f t="shared" ref="E43:E48" si="11">C43*D43</f>
        <v>246794.89600000001</v>
      </c>
      <c r="F43" s="443">
        <f t="shared" ref="F43:F48" si="12">F42+E43</f>
        <v>555288.51600000006</v>
      </c>
      <c r="G43" s="443">
        <f t="shared" ref="G43:G48" si="13">$C$15-F43</f>
        <v>987179.58400000003</v>
      </c>
    </row>
    <row r="44" spans="2:7">
      <c r="B44" s="482" t="s">
        <v>1230</v>
      </c>
      <c r="C44" s="443">
        <f t="shared" si="10"/>
        <v>987179.58400000003</v>
      </c>
      <c r="D44" s="483">
        <v>0.2</v>
      </c>
      <c r="E44" s="443">
        <f t="shared" si="11"/>
        <v>197435.91680000001</v>
      </c>
      <c r="F44" s="443">
        <f t="shared" si="12"/>
        <v>752724.43280000007</v>
      </c>
      <c r="G44" s="443">
        <f t="shared" si="13"/>
        <v>789743.66720000003</v>
      </c>
    </row>
    <row r="45" spans="2:7">
      <c r="B45" s="482" t="s">
        <v>1231</v>
      </c>
      <c r="C45" s="443">
        <f t="shared" si="10"/>
        <v>789743.66720000003</v>
      </c>
      <c r="D45" s="483">
        <v>0.2</v>
      </c>
      <c r="E45" s="443">
        <f t="shared" si="11"/>
        <v>157948.73344000001</v>
      </c>
      <c r="F45" s="443">
        <f t="shared" si="12"/>
        <v>910673.16624000005</v>
      </c>
      <c r="G45" s="443">
        <f t="shared" si="13"/>
        <v>631794.93376000004</v>
      </c>
    </row>
    <row r="46" spans="2:7">
      <c r="B46" s="482" t="s">
        <v>1232</v>
      </c>
      <c r="C46" s="443">
        <f t="shared" si="10"/>
        <v>631794.93376000004</v>
      </c>
      <c r="D46" s="483">
        <v>0.2</v>
      </c>
      <c r="E46" s="443">
        <f t="shared" si="11"/>
        <v>126358.98675200001</v>
      </c>
      <c r="F46" s="443">
        <f t="shared" si="12"/>
        <v>1037032.1529920001</v>
      </c>
      <c r="G46" s="443">
        <f t="shared" si="13"/>
        <v>505435.94700799999</v>
      </c>
    </row>
    <row r="47" spans="2:7">
      <c r="B47" s="482" t="s">
        <v>919</v>
      </c>
      <c r="C47" s="443">
        <f t="shared" si="10"/>
        <v>505435.94700799999</v>
      </c>
      <c r="D47" s="483">
        <v>0.2</v>
      </c>
      <c r="E47" s="443">
        <f t="shared" si="11"/>
        <v>101087.1894016</v>
      </c>
      <c r="F47" s="443">
        <f t="shared" si="12"/>
        <v>1138119.3423936001</v>
      </c>
      <c r="G47" s="443">
        <f t="shared" si="13"/>
        <v>404348.75760639994</v>
      </c>
    </row>
    <row r="48" spans="2:7">
      <c r="B48" s="482" t="s">
        <v>1084</v>
      </c>
      <c r="C48" s="443">
        <f t="shared" si="10"/>
        <v>404348.75760639994</v>
      </c>
      <c r="D48" s="483">
        <v>0.2</v>
      </c>
      <c r="E48" s="443">
        <f t="shared" si="11"/>
        <v>80869.751521279992</v>
      </c>
      <c r="F48" s="443">
        <f t="shared" si="12"/>
        <v>1218989.0939148802</v>
      </c>
      <c r="G48" s="443">
        <f t="shared" si="13"/>
        <v>323479.00608511991</v>
      </c>
    </row>
    <row r="49" spans="2:7">
      <c r="B49" s="482"/>
      <c r="C49" s="443"/>
      <c r="D49" s="443"/>
      <c r="E49" s="443">
        <f>SUM(E42:E48)</f>
        <v>1218989.0939148802</v>
      </c>
      <c r="F49" s="443"/>
      <c r="G49" s="443"/>
    </row>
    <row r="50" spans="2:7">
      <c r="B50" s="484"/>
      <c r="C50" s="25"/>
      <c r="D50" s="25"/>
      <c r="E50" s="25"/>
      <c r="F50" s="25"/>
      <c r="G50" s="25"/>
    </row>
    <row r="51" spans="2:7" ht="15.75" thickBot="1">
      <c r="B51" s="808" t="s">
        <v>24</v>
      </c>
      <c r="C51" s="808"/>
      <c r="D51" s="808"/>
      <c r="E51" s="34">
        <f>E38+E49</f>
        <v>1376995.0884481282</v>
      </c>
    </row>
    <row r="52" spans="2:7" ht="15.75" thickTop="1">
      <c r="F52" s="407" t="s">
        <v>1241</v>
      </c>
      <c r="G52" s="426">
        <f>G48+G37</f>
        <v>365408.52155187191</v>
      </c>
    </row>
  </sheetData>
  <mergeCells count="2">
    <mergeCell ref="B24:D24"/>
    <mergeCell ref="B51:D51"/>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S322"/>
  <sheetViews>
    <sheetView topLeftCell="A11" zoomScaleSheetLayoutView="100" workbookViewId="0">
      <selection activeCell="H41" sqref="H41"/>
    </sheetView>
  </sheetViews>
  <sheetFormatPr defaultRowHeight="15"/>
  <cols>
    <col min="1" max="1" width="38" style="5" customWidth="1"/>
    <col min="2" max="2" width="17.28515625" style="5" bestFit="1" customWidth="1"/>
    <col min="3" max="3" width="15.28515625" style="5" customWidth="1"/>
    <col min="4" max="4" width="12.7109375" style="5" customWidth="1"/>
    <col min="5" max="5" width="17.28515625" style="5" bestFit="1" customWidth="1"/>
    <col min="6" max="6" width="6.28515625" style="445" customWidth="1"/>
    <col min="7" max="7" width="6.5703125" style="5" customWidth="1"/>
    <col min="8" max="8" width="17.28515625" style="5" bestFit="1" customWidth="1"/>
    <col min="9" max="9" width="12.7109375" style="5" customWidth="1"/>
    <col min="10" max="10" width="17.42578125" style="5" customWidth="1"/>
    <col min="11" max="11" width="18.5703125" style="5" customWidth="1"/>
    <col min="12" max="12" width="1.140625" style="9" hidden="1" customWidth="1"/>
    <col min="13" max="13" width="13.7109375" style="5" customWidth="1"/>
    <col min="14" max="14" width="16.5703125" style="5" customWidth="1"/>
    <col min="15" max="15" width="19.5703125" style="5" customWidth="1"/>
    <col min="16" max="16" width="10" style="5" bestFit="1" customWidth="1"/>
    <col min="17" max="17" width="11.28515625" style="5" bestFit="1" customWidth="1"/>
    <col min="18" max="18" width="9.140625" style="5"/>
    <col min="19" max="19" width="10" style="5" bestFit="1" customWidth="1"/>
    <col min="20" max="16384" width="9.140625" style="5"/>
  </cols>
  <sheetData>
    <row r="1" spans="1:17">
      <c r="K1" s="7" t="s">
        <v>686</v>
      </c>
    </row>
    <row r="2" spans="1:17">
      <c r="A2" s="808" t="s">
        <v>0</v>
      </c>
      <c r="B2" s="808"/>
      <c r="C2" s="808"/>
      <c r="D2" s="808"/>
      <c r="E2" s="808"/>
      <c r="F2" s="808"/>
      <c r="G2" s="808"/>
      <c r="H2" s="808"/>
      <c r="I2" s="808"/>
      <c r="J2" s="808"/>
      <c r="K2" s="808"/>
    </row>
    <row r="3" spans="1:17" ht="5.25" customHeight="1">
      <c r="A3" s="107"/>
      <c r="B3" s="107"/>
      <c r="C3" s="107"/>
      <c r="D3" s="107"/>
      <c r="E3" s="107"/>
      <c r="F3" s="107"/>
      <c r="G3" s="107"/>
      <c r="H3" s="107"/>
      <c r="I3" s="107"/>
      <c r="J3" s="107"/>
      <c r="K3" s="107"/>
    </row>
    <row r="4" spans="1:17" ht="15" customHeight="1">
      <c r="A4" s="808" t="s">
        <v>780</v>
      </c>
      <c r="B4" s="808"/>
      <c r="C4" s="808"/>
      <c r="D4" s="808"/>
      <c r="E4" s="808"/>
      <c r="F4" s="808"/>
      <c r="G4" s="808"/>
      <c r="H4" s="808"/>
      <c r="I4" s="808"/>
      <c r="J4" s="808"/>
      <c r="K4" s="808"/>
    </row>
    <row r="5" spans="1:17" hidden="1">
      <c r="A5" s="808" t="s">
        <v>524</v>
      </c>
      <c r="B5" s="808"/>
      <c r="C5" s="808"/>
      <c r="D5" s="808"/>
      <c r="E5" s="808"/>
      <c r="F5" s="808"/>
      <c r="G5" s="808"/>
      <c r="H5" s="808"/>
      <c r="I5" s="808"/>
      <c r="J5" s="808"/>
      <c r="K5" s="808"/>
      <c r="L5" s="446"/>
    </row>
    <row r="6" spans="1:17">
      <c r="A6" s="808" t="s">
        <v>1082</v>
      </c>
      <c r="B6" s="808"/>
      <c r="C6" s="808"/>
      <c r="D6" s="808"/>
      <c r="E6" s="808"/>
      <c r="F6" s="808"/>
      <c r="G6" s="808"/>
      <c r="H6" s="808"/>
      <c r="I6" s="808"/>
      <c r="J6" s="808"/>
      <c r="K6" s="808"/>
      <c r="L6" s="808"/>
    </row>
    <row r="7" spans="1:17">
      <c r="A7" s="447"/>
      <c r="M7" s="5">
        <f>J7*K7</f>
        <v>0</v>
      </c>
      <c r="N7" s="5">
        <f>J7-M7</f>
        <v>0</v>
      </c>
      <c r="O7" s="5">
        <f>N7*K7</f>
        <v>0</v>
      </c>
      <c r="P7" s="5">
        <f>N7-O7</f>
        <v>0</v>
      </c>
    </row>
    <row r="8" spans="1:17" ht="15" customHeight="1">
      <c r="A8" s="4"/>
      <c r="K8" s="7" t="s">
        <v>558</v>
      </c>
    </row>
    <row r="9" spans="1:17" ht="16.5" customHeight="1">
      <c r="A9" s="808" t="s">
        <v>139</v>
      </c>
      <c r="B9" s="808" t="s">
        <v>140</v>
      </c>
      <c r="C9" s="808"/>
      <c r="D9" s="808"/>
      <c r="E9" s="808"/>
      <c r="F9" s="808" t="s">
        <v>141</v>
      </c>
      <c r="G9" s="808"/>
      <c r="H9" s="808"/>
      <c r="I9" s="808"/>
      <c r="J9" s="808"/>
      <c r="K9" s="808" t="s">
        <v>1085</v>
      </c>
    </row>
    <row r="10" spans="1:17" ht="11.25" customHeight="1">
      <c r="A10" s="808"/>
      <c r="B10" s="808" t="s">
        <v>1039</v>
      </c>
      <c r="C10" s="808" t="s">
        <v>387</v>
      </c>
      <c r="D10" s="808" t="s">
        <v>36</v>
      </c>
      <c r="E10" s="808" t="s">
        <v>1082</v>
      </c>
      <c r="F10" s="808" t="s">
        <v>142</v>
      </c>
      <c r="G10" s="808" t="s">
        <v>1039</v>
      </c>
      <c r="H10" s="808" t="s">
        <v>143</v>
      </c>
      <c r="I10" s="808" t="s">
        <v>36</v>
      </c>
      <c r="J10" s="808" t="s">
        <v>1082</v>
      </c>
      <c r="K10" s="808"/>
    </row>
    <row r="11" spans="1:17" ht="11.25" customHeight="1">
      <c r="A11" s="808"/>
      <c r="B11" s="808"/>
      <c r="C11" s="808"/>
      <c r="D11" s="808"/>
      <c r="E11" s="808"/>
      <c r="F11" s="808"/>
      <c r="G11" s="808"/>
      <c r="H11" s="808"/>
      <c r="I11" s="808"/>
      <c r="J11" s="808"/>
      <c r="K11" s="808"/>
    </row>
    <row r="12" spans="1:17" ht="40.5" customHeight="1">
      <c r="A12" s="808"/>
      <c r="B12" s="808"/>
      <c r="C12" s="808"/>
      <c r="D12" s="808"/>
      <c r="E12" s="808"/>
      <c r="F12" s="808"/>
      <c r="G12" s="808"/>
      <c r="H12" s="808"/>
      <c r="I12" s="808"/>
      <c r="J12" s="808"/>
      <c r="K12" s="808"/>
      <c r="N12" s="5">
        <f>D15-I15</f>
        <v>365408.52155187191</v>
      </c>
      <c r="O12" s="5">
        <f>D35-I35</f>
        <v>103079</v>
      </c>
    </row>
    <row r="13" spans="1:17">
      <c r="A13" s="378" t="s">
        <v>637</v>
      </c>
      <c r="B13" s="464"/>
      <c r="C13" s="464"/>
      <c r="D13" s="464"/>
      <c r="E13" s="464"/>
      <c r="F13" s="464"/>
      <c r="G13" s="464"/>
      <c r="H13" s="464"/>
      <c r="I13" s="464"/>
      <c r="J13" s="464"/>
      <c r="K13" s="464"/>
    </row>
    <row r="14" spans="1:17">
      <c r="A14" s="390" t="s">
        <v>575</v>
      </c>
      <c r="B14" s="7">
        <v>122612477</v>
      </c>
      <c r="C14" s="112"/>
      <c r="D14" s="112"/>
      <c r="E14" s="7">
        <f t="shared" ref="E14:E39" si="0">B14+C14-D14</f>
        <v>122612477</v>
      </c>
      <c r="F14" s="465">
        <v>0</v>
      </c>
      <c r="G14" s="7">
        <v>0</v>
      </c>
      <c r="H14" s="112">
        <v>0</v>
      </c>
      <c r="I14" s="112">
        <v>0</v>
      </c>
      <c r="J14" s="7">
        <f t="shared" ref="J14:J40" si="1">G14+H14-I14</f>
        <v>0</v>
      </c>
      <c r="K14" s="7">
        <f>E14-J14</f>
        <v>122612477</v>
      </c>
      <c r="M14" s="5">
        <v>421652628</v>
      </c>
    </row>
    <row r="15" spans="1:17">
      <c r="A15" s="389" t="s">
        <v>856</v>
      </c>
      <c r="B15" s="5">
        <f>368438856.5-69385454</f>
        <v>299053402.5</v>
      </c>
      <c r="C15" s="112"/>
      <c r="D15" s="481">
        <f>'Acc dep'!G52</f>
        <v>365408.52155187191</v>
      </c>
      <c r="E15" s="7">
        <f>B15+C15-D15</f>
        <v>298687993.97844815</v>
      </c>
      <c r="F15" s="466">
        <v>0.2</v>
      </c>
      <c r="G15" s="7"/>
      <c r="H15" s="7">
        <f>E15*F15</f>
        <v>59737598.795689635</v>
      </c>
      <c r="I15" s="112">
        <v>0</v>
      </c>
      <c r="J15" s="7">
        <f t="shared" si="1"/>
        <v>59737598.795689635</v>
      </c>
      <c r="K15" s="7">
        <f>E15-J15-0.3</f>
        <v>238950394.8827585</v>
      </c>
      <c r="M15" s="5">
        <v>559335801</v>
      </c>
      <c r="N15" s="5">
        <f>B15-M15</f>
        <v>-260282398.5</v>
      </c>
      <c r="O15" s="5">
        <v>57850582.441050008</v>
      </c>
      <c r="Q15" s="7">
        <v>56975569.378000014</v>
      </c>
    </row>
    <row r="16" spans="1:17">
      <c r="A16" s="389" t="s">
        <v>857</v>
      </c>
      <c r="B16" s="5">
        <v>4431691495.6120005</v>
      </c>
      <c r="C16" s="112">
        <v>9105636.8900000006</v>
      </c>
      <c r="D16" s="112"/>
      <c r="E16" s="7">
        <f>B16+C16-D16</f>
        <v>4440797132.5020008</v>
      </c>
      <c r="F16" s="466">
        <v>0.2</v>
      </c>
      <c r="G16" s="7"/>
      <c r="H16" s="7">
        <f t="shared" ref="H16:H40" si="2">E16*F16</f>
        <v>888159426.50040019</v>
      </c>
      <c r="I16" s="112">
        <v>0</v>
      </c>
      <c r="J16" s="7">
        <f t="shared" si="1"/>
        <v>888159426.50040019</v>
      </c>
      <c r="K16" s="7">
        <f>E16-J16-0.3</f>
        <v>3552637705.7016006</v>
      </c>
      <c r="Q16" s="7"/>
    </row>
    <row r="17" spans="1:17">
      <c r="A17" s="389" t="s">
        <v>533</v>
      </c>
      <c r="B17" s="5">
        <v>69385454</v>
      </c>
      <c r="C17" s="112">
        <v>31061880</v>
      </c>
      <c r="D17" s="112"/>
      <c r="E17" s="7">
        <f>B17+C17-D17</f>
        <v>100447334</v>
      </c>
      <c r="F17" s="466">
        <v>0.2</v>
      </c>
      <c r="G17" s="7"/>
      <c r="H17" s="7">
        <f t="shared" si="2"/>
        <v>20089466.800000001</v>
      </c>
      <c r="I17" s="112">
        <v>0</v>
      </c>
      <c r="J17" s="7">
        <f t="shared" si="1"/>
        <v>20089466.800000001</v>
      </c>
      <c r="K17" s="7">
        <f>E17-J17-0.3</f>
        <v>80357866.900000006</v>
      </c>
      <c r="Q17" s="7"/>
    </row>
    <row r="18" spans="1:17">
      <c r="A18" s="389" t="s">
        <v>787</v>
      </c>
      <c r="B18" s="5">
        <v>2886625.5</v>
      </c>
      <c r="C18" s="112">
        <v>0</v>
      </c>
      <c r="D18" s="112"/>
      <c r="E18" s="7">
        <f>B18+C18-D18</f>
        <v>2886625.5</v>
      </c>
      <c r="F18" s="466">
        <v>0.1</v>
      </c>
      <c r="G18" s="7"/>
      <c r="H18" s="7">
        <f t="shared" si="2"/>
        <v>288662.55</v>
      </c>
      <c r="I18" s="112">
        <v>0</v>
      </c>
      <c r="J18" s="7">
        <f t="shared" si="1"/>
        <v>288662.55</v>
      </c>
      <c r="K18" s="7">
        <f>E18-J18-0.3</f>
        <v>2597962.6500000004</v>
      </c>
      <c r="M18" s="5">
        <v>3360758</v>
      </c>
      <c r="N18" s="5">
        <f>B18-M18</f>
        <v>-474132.5</v>
      </c>
      <c r="O18" s="5">
        <v>7482041.3056280939</v>
      </c>
      <c r="Q18" s="7">
        <v>168037.84650000001</v>
      </c>
    </row>
    <row r="19" spans="1:17">
      <c r="A19" s="390" t="s">
        <v>147</v>
      </c>
      <c r="B19" s="5">
        <v>19614898.800000001</v>
      </c>
      <c r="C19" s="112">
        <v>1255111</v>
      </c>
      <c r="D19" s="112"/>
      <c r="E19" s="7">
        <f t="shared" si="0"/>
        <v>20870009.800000001</v>
      </c>
      <c r="F19" s="466">
        <v>0.1</v>
      </c>
      <c r="G19" s="7"/>
      <c r="H19" s="7">
        <f t="shared" si="2"/>
        <v>2087000.9800000002</v>
      </c>
      <c r="I19" s="112">
        <v>0</v>
      </c>
      <c r="J19" s="7">
        <f t="shared" si="1"/>
        <v>2087000.9800000002</v>
      </c>
      <c r="K19" s="7">
        <f t="shared" ref="K19:K40" si="3">E19-J19</f>
        <v>18783008.82</v>
      </c>
      <c r="M19" s="5">
        <v>24772152</v>
      </c>
      <c r="N19" s="5">
        <f>B19-M19</f>
        <v>-5157253.1999999993</v>
      </c>
      <c r="O19" s="5">
        <v>962746.03430896637</v>
      </c>
      <c r="Q19" s="7">
        <v>1398773.2365000001</v>
      </c>
    </row>
    <row r="20" spans="1:17">
      <c r="A20" s="390" t="s">
        <v>871</v>
      </c>
      <c r="B20" s="5">
        <v>262115040.59999999</v>
      </c>
      <c r="C20" s="112"/>
      <c r="D20" s="112"/>
      <c r="E20" s="7">
        <f t="shared" si="0"/>
        <v>262115040.59999999</v>
      </c>
      <c r="F20" s="466">
        <v>0.1</v>
      </c>
      <c r="G20" s="7"/>
      <c r="H20" s="7">
        <f t="shared" si="2"/>
        <v>26211504.060000002</v>
      </c>
      <c r="I20" s="112">
        <v>0</v>
      </c>
      <c r="J20" s="7">
        <f t="shared" si="1"/>
        <v>26211504.060000002</v>
      </c>
      <c r="K20" s="7">
        <f t="shared" si="3"/>
        <v>235903536.53999999</v>
      </c>
      <c r="Q20" s="7"/>
    </row>
    <row r="21" spans="1:17">
      <c r="A21" s="389" t="s">
        <v>148</v>
      </c>
      <c r="B21" s="5">
        <v>758390.4</v>
      </c>
      <c r="C21" s="112"/>
      <c r="D21" s="112"/>
      <c r="E21" s="7">
        <f t="shared" si="0"/>
        <v>758390.4</v>
      </c>
      <c r="F21" s="466">
        <v>0.1</v>
      </c>
      <c r="G21" s="7"/>
      <c r="H21" s="7">
        <f t="shared" si="2"/>
        <v>75839.040000000008</v>
      </c>
      <c r="I21" s="112">
        <v>0</v>
      </c>
      <c r="J21" s="7">
        <f t="shared" si="1"/>
        <v>75839.040000000008</v>
      </c>
      <c r="K21" s="7">
        <f t="shared" si="3"/>
        <v>682551.36</v>
      </c>
      <c r="M21" s="5">
        <v>936284</v>
      </c>
      <c r="N21" s="5">
        <f>B21-M21</f>
        <v>-177893.59999999998</v>
      </c>
      <c r="O21" s="5">
        <v>47399.419620000001</v>
      </c>
      <c r="Q21" s="7">
        <v>46814.233500000002</v>
      </c>
    </row>
    <row r="22" spans="1:17">
      <c r="A22" s="389" t="s">
        <v>149</v>
      </c>
      <c r="B22" s="5">
        <v>2621064.6</v>
      </c>
      <c r="C22" s="112"/>
      <c r="D22" s="112"/>
      <c r="E22" s="7">
        <f t="shared" si="0"/>
        <v>2621064.6</v>
      </c>
      <c r="F22" s="466">
        <v>0.1</v>
      </c>
      <c r="G22" s="7"/>
      <c r="H22" s="7">
        <f t="shared" si="2"/>
        <v>262106.46000000002</v>
      </c>
      <c r="I22" s="112">
        <v>0</v>
      </c>
      <c r="J22" s="7">
        <f t="shared" si="1"/>
        <v>262106.46000000002</v>
      </c>
      <c r="K22" s="7">
        <f t="shared" si="3"/>
        <v>2358958.14</v>
      </c>
      <c r="M22" s="5">
        <v>3235882</v>
      </c>
      <c r="N22" s="5">
        <f>B22-M22</f>
        <v>-614817.39999999991</v>
      </c>
      <c r="O22" s="5">
        <v>117780.09354731521</v>
      </c>
      <c r="Q22" s="7">
        <v>161794.098</v>
      </c>
    </row>
    <row r="23" spans="1:17">
      <c r="A23" s="389" t="s">
        <v>572</v>
      </c>
      <c r="B23" s="5">
        <v>661458.6</v>
      </c>
      <c r="C23" s="112"/>
      <c r="D23" s="112"/>
      <c r="E23" s="7">
        <f t="shared" si="0"/>
        <v>661458.6</v>
      </c>
      <c r="F23" s="393">
        <v>0.1</v>
      </c>
      <c r="G23" s="7"/>
      <c r="H23" s="7">
        <f t="shared" si="2"/>
        <v>66145.86</v>
      </c>
      <c r="I23" s="112">
        <v>0</v>
      </c>
      <c r="J23" s="7">
        <f t="shared" si="1"/>
        <v>66145.86</v>
      </c>
      <c r="K23" s="7">
        <f t="shared" si="3"/>
        <v>595312.74</v>
      </c>
      <c r="M23" s="5">
        <v>816615</v>
      </c>
      <c r="N23" s="5">
        <f>B23-M23</f>
        <v>-155156.40000000002</v>
      </c>
      <c r="O23" s="5">
        <v>40830.74325</v>
      </c>
      <c r="Q23" s="7">
        <v>40830.763500000001</v>
      </c>
    </row>
    <row r="24" spans="1:17">
      <c r="A24" s="389" t="s">
        <v>865</v>
      </c>
      <c r="B24" s="5">
        <v>1201369.5</v>
      </c>
      <c r="C24" s="112"/>
      <c r="D24" s="112"/>
      <c r="E24" s="7">
        <f t="shared" si="0"/>
        <v>1201369.5</v>
      </c>
      <c r="F24" s="393">
        <v>0.1</v>
      </c>
      <c r="G24" s="7"/>
      <c r="H24" s="7">
        <f t="shared" si="2"/>
        <v>120136.95000000001</v>
      </c>
      <c r="I24" s="112">
        <v>0</v>
      </c>
      <c r="J24" s="7">
        <f t="shared" si="1"/>
        <v>120136.95000000001</v>
      </c>
      <c r="K24" s="7">
        <f t="shared" si="3"/>
        <v>1081232.55</v>
      </c>
      <c r="Q24" s="7"/>
    </row>
    <row r="25" spans="1:17">
      <c r="A25" s="389" t="s">
        <v>873</v>
      </c>
      <c r="B25" s="5">
        <v>12325194.9</v>
      </c>
      <c r="C25" s="112"/>
      <c r="D25" s="112"/>
      <c r="E25" s="7">
        <f t="shared" si="0"/>
        <v>12325194.9</v>
      </c>
      <c r="F25" s="485">
        <v>0.2</v>
      </c>
      <c r="G25" s="7"/>
      <c r="H25" s="7">
        <f t="shared" si="2"/>
        <v>2465038.98</v>
      </c>
      <c r="I25" s="112">
        <v>0</v>
      </c>
      <c r="J25" s="7">
        <f t="shared" si="1"/>
        <v>2465038.98</v>
      </c>
      <c r="K25" s="7">
        <f t="shared" si="3"/>
        <v>9860155.9199999999</v>
      </c>
      <c r="Q25" s="7"/>
    </row>
    <row r="26" spans="1:17">
      <c r="A26" s="389" t="s">
        <v>151</v>
      </c>
      <c r="B26" s="5">
        <v>412977.6</v>
      </c>
      <c r="C26" s="112"/>
      <c r="D26" s="112"/>
      <c r="E26" s="7">
        <f t="shared" si="0"/>
        <v>412977.6</v>
      </c>
      <c r="F26" s="485">
        <v>0.2</v>
      </c>
      <c r="G26" s="7"/>
      <c r="H26" s="7">
        <f t="shared" si="2"/>
        <v>82595.520000000004</v>
      </c>
      <c r="I26" s="112">
        <v>0</v>
      </c>
      <c r="J26" s="7">
        <f t="shared" si="1"/>
        <v>82595.520000000004</v>
      </c>
      <c r="K26" s="7">
        <f t="shared" si="3"/>
        <v>330382.07999999996</v>
      </c>
      <c r="M26" s="5">
        <v>571595</v>
      </c>
      <c r="N26" s="5">
        <f>B26-M26</f>
        <v>-158617.40000000002</v>
      </c>
      <c r="O26" s="5">
        <v>32263.84909625</v>
      </c>
      <c r="Q26" s="7">
        <v>42869.627812499995</v>
      </c>
    </row>
    <row r="27" spans="1:17">
      <c r="A27" s="389" t="s">
        <v>866</v>
      </c>
      <c r="B27" s="5">
        <v>15186396.65</v>
      </c>
      <c r="C27" s="112"/>
      <c r="D27" s="112"/>
      <c r="E27" s="7">
        <f t="shared" si="0"/>
        <v>15186396.65</v>
      </c>
      <c r="F27" s="485">
        <v>0.2</v>
      </c>
      <c r="G27" s="7"/>
      <c r="H27" s="7">
        <f t="shared" si="2"/>
        <v>3037279.33</v>
      </c>
      <c r="I27" s="112">
        <v>0</v>
      </c>
      <c r="J27" s="7">
        <f t="shared" si="1"/>
        <v>3037279.33</v>
      </c>
      <c r="K27" s="7">
        <f t="shared" si="3"/>
        <v>12149117.32</v>
      </c>
      <c r="Q27" s="7"/>
    </row>
    <row r="28" spans="1:17">
      <c r="A28" s="389" t="s">
        <v>152</v>
      </c>
      <c r="B28" s="5">
        <v>3311836</v>
      </c>
      <c r="C28" s="112"/>
      <c r="D28" s="112"/>
      <c r="E28" s="7">
        <f t="shared" si="0"/>
        <v>3311836</v>
      </c>
      <c r="F28" s="393">
        <v>0.2</v>
      </c>
      <c r="G28" s="7"/>
      <c r="H28" s="7">
        <f t="shared" si="2"/>
        <v>662367.20000000007</v>
      </c>
      <c r="I28" s="112">
        <v>0</v>
      </c>
      <c r="J28" s="7">
        <f t="shared" si="1"/>
        <v>662367.20000000007</v>
      </c>
      <c r="K28" s="7">
        <f t="shared" si="3"/>
        <v>2649468.7999999998</v>
      </c>
      <c r="M28" s="5">
        <v>5174744</v>
      </c>
      <c r="N28" s="5">
        <f>B28-M28</f>
        <v>-1862908</v>
      </c>
      <c r="O28" s="5">
        <v>638767.24739999999</v>
      </c>
      <c r="Q28" s="7">
        <v>517474.43200000003</v>
      </c>
    </row>
    <row r="29" spans="1:17">
      <c r="A29" s="389" t="s">
        <v>872</v>
      </c>
      <c r="B29" s="5">
        <v>16679784</v>
      </c>
      <c r="C29" s="112"/>
      <c r="D29" s="112"/>
      <c r="E29" s="7">
        <f t="shared" si="0"/>
        <v>16679784</v>
      </c>
      <c r="F29" s="393">
        <v>0.2</v>
      </c>
      <c r="G29" s="7"/>
      <c r="H29" s="7">
        <f t="shared" si="2"/>
        <v>3335956.8000000003</v>
      </c>
      <c r="I29" s="112">
        <v>0</v>
      </c>
      <c r="J29" s="7">
        <f t="shared" si="1"/>
        <v>3335956.8000000003</v>
      </c>
      <c r="K29" s="7">
        <f t="shared" si="3"/>
        <v>13343827.199999999</v>
      </c>
      <c r="Q29" s="7"/>
    </row>
    <row r="30" spans="1:17">
      <c r="A30" s="389" t="s">
        <v>1119</v>
      </c>
      <c r="B30" s="5">
        <v>0</v>
      </c>
      <c r="C30" s="112">
        <v>387555</v>
      </c>
      <c r="D30" s="112"/>
      <c r="E30" s="7">
        <f>B30+C30-D30</f>
        <v>387555</v>
      </c>
      <c r="F30" s="393">
        <v>0.2</v>
      </c>
      <c r="G30" s="7"/>
      <c r="H30" s="7">
        <f t="shared" si="2"/>
        <v>77511</v>
      </c>
      <c r="I30" s="112">
        <v>0</v>
      </c>
      <c r="J30" s="7">
        <f t="shared" si="1"/>
        <v>77511</v>
      </c>
      <c r="K30" s="7">
        <f t="shared" si="3"/>
        <v>310044</v>
      </c>
      <c r="Q30" s="7"/>
    </row>
    <row r="31" spans="1:17">
      <c r="A31" s="389" t="s">
        <v>153</v>
      </c>
      <c r="B31" s="5">
        <v>5189886.9000000004</v>
      </c>
      <c r="C31" s="7">
        <v>423763</v>
      </c>
      <c r="D31" s="112"/>
      <c r="E31" s="7">
        <f t="shared" si="0"/>
        <v>5613649.9000000004</v>
      </c>
      <c r="F31" s="466">
        <v>0.1</v>
      </c>
      <c r="G31" s="7"/>
      <c r="H31" s="7">
        <f t="shared" si="2"/>
        <v>561364.99000000011</v>
      </c>
      <c r="I31" s="112">
        <v>0</v>
      </c>
      <c r="J31" s="7">
        <f t="shared" si="1"/>
        <v>561364.99000000011</v>
      </c>
      <c r="K31" s="7">
        <f t="shared" si="3"/>
        <v>5052284.91</v>
      </c>
      <c r="M31" s="5">
        <v>3412938</v>
      </c>
      <c r="N31" s="5">
        <f>B31-M31</f>
        <v>1776948.9000000004</v>
      </c>
      <c r="O31" s="5">
        <v>124224.5445451776</v>
      </c>
      <c r="Q31" s="7">
        <v>170646.87150000001</v>
      </c>
    </row>
    <row r="32" spans="1:17">
      <c r="A32" s="389" t="s">
        <v>868</v>
      </c>
      <c r="B32" s="5">
        <v>34396488.899999999</v>
      </c>
      <c r="C32" s="7"/>
      <c r="D32" s="112"/>
      <c r="E32" s="7">
        <f t="shared" si="0"/>
        <v>34396488.899999999</v>
      </c>
      <c r="F32" s="466">
        <v>0.1</v>
      </c>
      <c r="G32" s="7"/>
      <c r="H32" s="7">
        <f t="shared" si="2"/>
        <v>3439648.89</v>
      </c>
      <c r="I32" s="112">
        <v>0</v>
      </c>
      <c r="J32" s="7">
        <f t="shared" si="1"/>
        <v>3439648.89</v>
      </c>
      <c r="K32" s="7">
        <f t="shared" si="3"/>
        <v>30956840.009999998</v>
      </c>
      <c r="Q32" s="7"/>
    </row>
    <row r="33" spans="1:19">
      <c r="A33" s="389" t="s">
        <v>573</v>
      </c>
      <c r="B33" s="5">
        <v>6326744.4000000004</v>
      </c>
      <c r="C33" s="112"/>
      <c r="D33" s="112"/>
      <c r="E33" s="7">
        <f t="shared" si="0"/>
        <v>6326744.4000000004</v>
      </c>
      <c r="F33" s="393">
        <v>0.1</v>
      </c>
      <c r="G33" s="7"/>
      <c r="H33" s="7">
        <f t="shared" si="2"/>
        <v>632674.44000000006</v>
      </c>
      <c r="I33" s="112">
        <v>0</v>
      </c>
      <c r="J33" s="7">
        <f t="shared" si="1"/>
        <v>632674.44000000006</v>
      </c>
      <c r="K33" s="7">
        <f t="shared" si="3"/>
        <v>5694069.96</v>
      </c>
      <c r="M33" s="5">
        <v>7810796</v>
      </c>
      <c r="N33" s="5">
        <f>B33-M33</f>
        <v>-1484051.5999999996</v>
      </c>
      <c r="O33" s="5">
        <v>583672.95811187499</v>
      </c>
      <c r="Q33" s="7">
        <v>390539.799</v>
      </c>
    </row>
    <row r="34" spans="1:19">
      <c r="A34" s="389" t="s">
        <v>869</v>
      </c>
      <c r="B34" s="5">
        <v>19632410.100000001</v>
      </c>
      <c r="C34" s="112"/>
      <c r="D34" s="112"/>
      <c r="E34" s="7">
        <f t="shared" si="0"/>
        <v>19632410.100000001</v>
      </c>
      <c r="F34" s="393">
        <v>0.1</v>
      </c>
      <c r="G34" s="7"/>
      <c r="H34" s="7">
        <f t="shared" si="2"/>
        <v>1963241.0100000002</v>
      </c>
      <c r="I34" s="112">
        <v>0</v>
      </c>
      <c r="J34" s="7">
        <f t="shared" si="1"/>
        <v>1963241.0100000002</v>
      </c>
      <c r="K34" s="7">
        <f t="shared" si="3"/>
        <v>17669169.09</v>
      </c>
      <c r="Q34" s="7"/>
    </row>
    <row r="35" spans="1:19">
      <c r="A35" s="389" t="s">
        <v>155</v>
      </c>
      <c r="B35" s="5">
        <v>15535732</v>
      </c>
      <c r="C35" s="264">
        <v>4299500</v>
      </c>
      <c r="D35" s="5">
        <f>1500000-1396921</f>
        <v>103079</v>
      </c>
      <c r="E35" s="7">
        <f>B35+C35-D35</f>
        <v>19732153</v>
      </c>
      <c r="F35" s="393">
        <v>0.2</v>
      </c>
      <c r="G35" s="7"/>
      <c r="H35" s="7">
        <f t="shared" si="2"/>
        <v>3946430.6</v>
      </c>
      <c r="I35" s="112">
        <v>0</v>
      </c>
      <c r="J35" s="7">
        <f t="shared" si="1"/>
        <v>3946430.6</v>
      </c>
      <c r="K35" s="7">
        <f t="shared" si="3"/>
        <v>15785722.4</v>
      </c>
      <c r="M35" s="5">
        <v>16420831</v>
      </c>
      <c r="N35" s="5">
        <f>B35-M35</f>
        <v>-885099</v>
      </c>
      <c r="O35" s="5">
        <v>1761470.06736</v>
      </c>
      <c r="P35" s="5">
        <f>C35</f>
        <v>4299500</v>
      </c>
      <c r="Q35" s="7">
        <v>1642083.1359999999</v>
      </c>
    </row>
    <row r="36" spans="1:19">
      <c r="A36" s="389" t="s">
        <v>156</v>
      </c>
      <c r="B36" s="5">
        <v>20327683.5</v>
      </c>
      <c r="C36" s="264">
        <f>2996410+3294874-14115</f>
        <v>6277169</v>
      </c>
      <c r="D36" s="112">
        <v>0</v>
      </c>
      <c r="E36" s="7">
        <f t="shared" si="0"/>
        <v>26604852.5</v>
      </c>
      <c r="F36" s="393">
        <v>0.1</v>
      </c>
      <c r="G36" s="7"/>
      <c r="H36" s="7">
        <f t="shared" si="2"/>
        <v>2660485.25</v>
      </c>
      <c r="I36" s="112">
        <v>0</v>
      </c>
      <c r="J36" s="7">
        <f t="shared" si="1"/>
        <v>2660485.25</v>
      </c>
      <c r="K36" s="7">
        <f t="shared" si="3"/>
        <v>23944367.25</v>
      </c>
      <c r="M36" s="5">
        <v>11258500</v>
      </c>
      <c r="N36" s="5">
        <f>B36-M36</f>
        <v>9069183.5</v>
      </c>
      <c r="O36" s="357">
        <v>576662.42628150003</v>
      </c>
      <c r="Q36" s="7">
        <v>602803.99149999989</v>
      </c>
    </row>
    <row r="37" spans="1:19">
      <c r="A37" s="389" t="s">
        <v>157</v>
      </c>
      <c r="B37" s="5">
        <v>623160</v>
      </c>
      <c r="C37" s="264"/>
      <c r="D37" s="112"/>
      <c r="E37" s="7">
        <f t="shared" si="0"/>
        <v>623160</v>
      </c>
      <c r="F37" s="486">
        <v>0.2</v>
      </c>
      <c r="G37" s="7"/>
      <c r="H37" s="7">
        <f t="shared" si="2"/>
        <v>124632</v>
      </c>
      <c r="I37" s="112">
        <v>0</v>
      </c>
      <c r="J37" s="7">
        <f t="shared" si="1"/>
        <v>124632</v>
      </c>
      <c r="K37" s="7">
        <f t="shared" si="3"/>
        <v>498528</v>
      </c>
      <c r="M37" s="5">
        <v>381887</v>
      </c>
      <c r="N37" s="5">
        <f>B37-M37</f>
        <v>241273</v>
      </c>
      <c r="O37" s="5">
        <v>19630.992385000001</v>
      </c>
      <c r="Q37" s="7">
        <v>19094.3685</v>
      </c>
    </row>
    <row r="38" spans="1:19">
      <c r="A38" s="389" t="s">
        <v>870</v>
      </c>
      <c r="B38" s="5">
        <v>1257408.8999999999</v>
      </c>
      <c r="C38" s="264"/>
      <c r="D38" s="112"/>
      <c r="E38" s="7">
        <f t="shared" si="0"/>
        <v>1257408.8999999999</v>
      </c>
      <c r="F38" s="486">
        <v>0.2</v>
      </c>
      <c r="G38" s="7"/>
      <c r="H38" s="7">
        <f t="shared" si="2"/>
        <v>251481.78</v>
      </c>
      <c r="I38" s="112">
        <v>0</v>
      </c>
      <c r="J38" s="7">
        <f t="shared" si="1"/>
        <v>251481.78</v>
      </c>
      <c r="K38" s="7">
        <f t="shared" si="3"/>
        <v>1005927.1199999999</v>
      </c>
      <c r="Q38" s="7"/>
    </row>
    <row r="39" spans="1:19">
      <c r="A39" s="389" t="s">
        <v>650</v>
      </c>
      <c r="B39" s="5">
        <v>2534841.9</v>
      </c>
      <c r="C39" s="264">
        <v>479878</v>
      </c>
      <c r="D39" s="112"/>
      <c r="E39" s="7">
        <f t="shared" si="0"/>
        <v>3014719.9</v>
      </c>
      <c r="F39" s="393">
        <v>0.1</v>
      </c>
      <c r="G39" s="264"/>
      <c r="H39" s="7">
        <f t="shared" si="2"/>
        <v>301471.99</v>
      </c>
      <c r="I39" s="112">
        <v>0</v>
      </c>
      <c r="J39" s="7">
        <f t="shared" si="1"/>
        <v>301471.99</v>
      </c>
      <c r="K39" s="7">
        <f t="shared" si="3"/>
        <v>2713247.91</v>
      </c>
      <c r="M39" s="5">
        <v>2717060</v>
      </c>
      <c r="N39" s="5">
        <f>B39-M39</f>
        <v>-182218.10000000009</v>
      </c>
      <c r="O39" s="5">
        <v>134915.74649999998</v>
      </c>
      <c r="Q39" s="7">
        <v>135853.038</v>
      </c>
    </row>
    <row r="40" spans="1:19">
      <c r="A40" s="389" t="s">
        <v>1120</v>
      </c>
      <c r="C40" s="264">
        <v>220500</v>
      </c>
      <c r="D40" s="112"/>
      <c r="E40" s="7">
        <f>B40+C40-D40</f>
        <v>220500</v>
      </c>
      <c r="F40" s="393">
        <v>0.2</v>
      </c>
      <c r="G40" s="264"/>
      <c r="H40" s="7">
        <f t="shared" si="2"/>
        <v>44100</v>
      </c>
      <c r="I40" s="112">
        <v>0</v>
      </c>
      <c r="J40" s="7">
        <f t="shared" si="1"/>
        <v>44100</v>
      </c>
      <c r="K40" s="7">
        <f t="shared" si="3"/>
        <v>176400</v>
      </c>
      <c r="Q40" s="7"/>
    </row>
    <row r="41" spans="1:19" s="449" customFormat="1">
      <c r="A41" s="467" t="s">
        <v>639</v>
      </c>
      <c r="B41" s="468">
        <f>SUM(B14:B40)</f>
        <v>5366342222.8619995</v>
      </c>
      <c r="C41" s="468">
        <f>SUM(C14:C40)</f>
        <v>53510992.890000001</v>
      </c>
      <c r="D41" s="468">
        <f>SUM(D14:D40)</f>
        <v>468487.52155187191</v>
      </c>
      <c r="E41" s="468">
        <f>SUM(E14:E40)</f>
        <v>5419384728.2304478</v>
      </c>
      <c r="F41" s="469"/>
      <c r="G41" s="468">
        <f>SUM(G14:G39)</f>
        <v>0</v>
      </c>
      <c r="H41" s="468">
        <f>SUM(H15:H40)</f>
        <v>1020684167.7760899</v>
      </c>
      <c r="I41" s="468">
        <f>SUM(I14:I40)</f>
        <v>0</v>
      </c>
      <c r="J41" s="468">
        <f>SUM(J14:J40)</f>
        <v>1020684167.7760899</v>
      </c>
      <c r="K41" s="468">
        <f>SUM(K14:L40)-0.5</f>
        <v>4398700558.7543592</v>
      </c>
      <c r="L41" s="448"/>
      <c r="M41" s="449">
        <f>SUM(M14:M39)</f>
        <v>1061858471</v>
      </c>
      <c r="N41" s="5">
        <f>B41-M41</f>
        <v>4304483751.8619995</v>
      </c>
      <c r="S41" s="449">
        <f>O42-Q42</f>
        <v>8059803.0487716645</v>
      </c>
    </row>
    <row r="42" spans="1:19" ht="11.25" customHeight="1">
      <c r="A42" s="345"/>
      <c r="B42" s="470"/>
      <c r="C42" s="470"/>
      <c r="D42" s="470"/>
      <c r="E42" s="470"/>
      <c r="F42" s="471"/>
      <c r="G42" s="470"/>
      <c r="H42" s="470"/>
      <c r="I42" s="470"/>
      <c r="J42" s="470"/>
      <c r="K42" s="470"/>
      <c r="O42" s="5">
        <f>SUM(O15:O41)</f>
        <v>70372987.869084179</v>
      </c>
      <c r="P42" s="5">
        <f>SUM(P15:P41)</f>
        <v>4299500</v>
      </c>
      <c r="Q42" s="5">
        <f>SUM(Q15:Q41)</f>
        <v>62313184.820312515</v>
      </c>
    </row>
    <row r="43" spans="1:19" ht="11.25" customHeight="1">
      <c r="A43" s="345" t="s">
        <v>638</v>
      </c>
      <c r="B43" s="470"/>
      <c r="C43" s="470"/>
      <c r="D43" s="470"/>
      <c r="E43" s="470"/>
      <c r="F43" s="471"/>
      <c r="G43" s="470"/>
      <c r="H43" s="470"/>
      <c r="I43" s="470"/>
      <c r="J43" s="470"/>
      <c r="K43" s="470"/>
    </row>
    <row r="44" spans="1:19" ht="11.25" customHeight="1">
      <c r="A44" s="345"/>
      <c r="B44" s="470"/>
      <c r="C44" s="470"/>
      <c r="D44" s="470"/>
      <c r="E44" s="470"/>
      <c r="F44" s="471"/>
      <c r="G44" s="470"/>
      <c r="H44" s="470"/>
      <c r="I44" s="470"/>
      <c r="J44" s="470"/>
      <c r="K44" s="470"/>
      <c r="M44" s="5">
        <f>B41+B47</f>
        <v>5712903783.8619995</v>
      </c>
      <c r="O44" s="5" t="e">
        <f>K45+#REF!</f>
        <v>#REF!</v>
      </c>
    </row>
    <row r="45" spans="1:19" ht="11.25" customHeight="1">
      <c r="A45" s="345" t="s">
        <v>575</v>
      </c>
      <c r="B45" s="470">
        <v>346561561</v>
      </c>
      <c r="C45" s="470">
        <v>0</v>
      </c>
      <c r="D45" s="470">
        <v>0</v>
      </c>
      <c r="E45" s="7">
        <f>B45+C45-D45</f>
        <v>346561561</v>
      </c>
      <c r="F45" s="472">
        <v>0</v>
      </c>
      <c r="G45" s="470">
        <v>0</v>
      </c>
      <c r="H45" s="470">
        <v>0</v>
      </c>
      <c r="I45" s="470">
        <v>0</v>
      </c>
      <c r="J45" s="470">
        <v>0</v>
      </c>
      <c r="K45" s="7">
        <f>E45-J45</f>
        <v>346561561</v>
      </c>
    </row>
    <row r="46" spans="1:19" ht="11.25" customHeight="1">
      <c r="A46" s="345"/>
      <c r="B46" s="470"/>
      <c r="C46" s="470"/>
      <c r="D46" s="470"/>
      <c r="E46" s="470"/>
      <c r="F46" s="471"/>
      <c r="G46" s="470"/>
      <c r="H46" s="470"/>
      <c r="I46" s="470"/>
      <c r="J46" s="470"/>
      <c r="K46" s="470"/>
    </row>
    <row r="47" spans="1:19" s="449" customFormat="1">
      <c r="A47" s="467" t="s">
        <v>334</v>
      </c>
      <c r="B47" s="468">
        <v>346561561</v>
      </c>
      <c r="C47" s="468">
        <f>SUM(C45:C46)</f>
        <v>0</v>
      </c>
      <c r="D47" s="468">
        <f>SUM(D45:D46)</f>
        <v>0</v>
      </c>
      <c r="E47" s="468">
        <f>SUM(E45:E46)</f>
        <v>346561561</v>
      </c>
      <c r="F47" s="473"/>
      <c r="G47" s="468">
        <f>SUM(G45:G46)</f>
        <v>0</v>
      </c>
      <c r="H47" s="468">
        <f>SUM(H45:H46)</f>
        <v>0</v>
      </c>
      <c r="I47" s="468">
        <f>SUM(I45:I46)</f>
        <v>0</v>
      </c>
      <c r="J47" s="468">
        <f>SUM(J45:J46)</f>
        <v>0</v>
      </c>
      <c r="K47" s="468">
        <f>SUM(K45:K46)</f>
        <v>346561561</v>
      </c>
      <c r="L47" s="448"/>
      <c r="M47" s="449">
        <f>K47+K14</f>
        <v>469174038</v>
      </c>
    </row>
    <row r="48" spans="1:19" ht="15.75" customHeight="1">
      <c r="A48" s="345"/>
      <c r="B48" s="470"/>
      <c r="C48" s="470"/>
      <c r="D48" s="470"/>
      <c r="E48" s="470"/>
      <c r="F48" s="471"/>
      <c r="G48" s="470"/>
      <c r="H48" s="470"/>
      <c r="I48" s="470"/>
      <c r="J48" s="470"/>
      <c r="K48" s="470"/>
      <c r="M48" s="5">
        <f>M47-M14</f>
        <v>47521410</v>
      </c>
    </row>
    <row r="49" spans="1:15" ht="29.25" customHeight="1" thickBot="1">
      <c r="A49" s="450" t="s">
        <v>1082</v>
      </c>
      <c r="B49" s="150">
        <v>1104546569</v>
      </c>
      <c r="C49" s="150">
        <f>C41+C47</f>
        <v>53510992.890000001</v>
      </c>
      <c r="D49" s="150">
        <f>D41+D47</f>
        <v>468487.52155187191</v>
      </c>
      <c r="E49" s="150">
        <f>E41+E47</f>
        <v>5765946289.2304478</v>
      </c>
      <c r="F49" s="9"/>
      <c r="G49" s="150">
        <f>G41+G47</f>
        <v>0</v>
      </c>
      <c r="H49" s="150">
        <f>H41+H47</f>
        <v>1020684167.7760899</v>
      </c>
      <c r="I49" s="150">
        <f>I41+I47</f>
        <v>0</v>
      </c>
      <c r="J49" s="150">
        <f>J41+J47</f>
        <v>1020684167.7760899</v>
      </c>
      <c r="K49" s="150">
        <f>K41+K47</f>
        <v>4745262119.7543592</v>
      </c>
      <c r="M49" s="5">
        <f>K49</f>
        <v>4745262119.7543592</v>
      </c>
    </row>
    <row r="50" spans="1:15" ht="11.25" customHeight="1" thickTop="1"/>
    <row r="51" spans="1:15" ht="15.75" thickBot="1">
      <c r="A51" s="450" t="s">
        <v>925</v>
      </c>
      <c r="B51" s="150">
        <v>3498789009</v>
      </c>
      <c r="C51" s="150"/>
      <c r="D51" s="150">
        <v>0</v>
      </c>
      <c r="E51" s="150">
        <v>3498789009</v>
      </c>
      <c r="G51" s="150"/>
      <c r="H51" s="150">
        <v>170355270</v>
      </c>
      <c r="I51" s="150">
        <v>14140984</v>
      </c>
      <c r="J51" s="150">
        <f>(G51+H51-I51)-1</f>
        <v>156214285</v>
      </c>
      <c r="K51" s="150">
        <f>E51-J51-0.55</f>
        <v>3342574723.4499998</v>
      </c>
    </row>
    <row r="52" spans="1:15" ht="15.75" thickTop="1">
      <c r="A52" s="398"/>
      <c r="B52" s="9"/>
      <c r="C52" s="9"/>
      <c r="D52" s="9"/>
      <c r="E52" s="9"/>
      <c r="G52" s="9"/>
      <c r="H52" s="9"/>
      <c r="I52" s="9"/>
      <c r="J52" s="9"/>
      <c r="N52" s="5">
        <v>252297227.44697502</v>
      </c>
    </row>
    <row r="53" spans="1:15" ht="26.25" customHeight="1">
      <c r="A53" s="398"/>
      <c r="B53" s="399">
        <f>B41+B47</f>
        <v>5712903783.8619995</v>
      </c>
      <c r="C53" s="399" t="e">
        <f>C41-#REF!</f>
        <v>#REF!</v>
      </c>
      <c r="D53" s="398"/>
      <c r="E53" s="398"/>
      <c r="F53" s="398"/>
      <c r="G53" s="398"/>
      <c r="H53" s="399"/>
      <c r="I53" s="398"/>
      <c r="J53" s="398"/>
      <c r="K53" s="451">
        <f>K41-K14</f>
        <v>4276088081.7543592</v>
      </c>
      <c r="O53" s="5">
        <f>C15*0.2/2</f>
        <v>0</v>
      </c>
    </row>
    <row r="54" spans="1:15" ht="14.25" hidden="1" customHeight="1">
      <c r="A54" s="398"/>
      <c r="B54" s="398"/>
      <c r="C54" s="398"/>
      <c r="D54" s="398"/>
      <c r="E54" s="398"/>
      <c r="F54" s="398"/>
      <c r="G54" s="398"/>
      <c r="H54" s="398"/>
      <c r="I54" s="398"/>
      <c r="J54" s="398"/>
      <c r="K54" s="398"/>
    </row>
    <row r="55" spans="1:15" ht="11.25" customHeight="1"/>
    <row r="56" spans="1:15" s="9" customFormat="1">
      <c r="A56" s="5"/>
      <c r="F56" s="452"/>
      <c r="K56" s="9">
        <f>K49-K45-K14</f>
        <v>4276088081.7543592</v>
      </c>
      <c r="O56" s="9">
        <v>291380.10000000003</v>
      </c>
    </row>
    <row r="57" spans="1:15" s="9" customFormat="1">
      <c r="A57" s="5"/>
      <c r="F57" s="452"/>
      <c r="O57" s="9">
        <f>C39*0.1/2</f>
        <v>23993.9</v>
      </c>
    </row>
    <row r="58" spans="1:15" s="9" customFormat="1">
      <c r="A58" s="5"/>
      <c r="F58" s="452"/>
      <c r="O58" s="9">
        <f>SUM(O53:O57)</f>
        <v>315374.00000000006</v>
      </c>
    </row>
    <row r="59" spans="1:15" s="9" customFormat="1">
      <c r="A59" s="5"/>
      <c r="F59" s="452"/>
      <c r="J59" s="9">
        <f>E41-H41</f>
        <v>4398700560.4543581</v>
      </c>
    </row>
    <row r="60" spans="1:15" s="9" customFormat="1">
      <c r="A60" s="5"/>
      <c r="F60" s="452"/>
    </row>
    <row r="61" spans="1:15" s="9" customFormat="1">
      <c r="A61" s="5"/>
      <c r="F61" s="452"/>
      <c r="J61" s="9">
        <f>K41-J59</f>
        <v>-1.6999988555908203</v>
      </c>
    </row>
    <row r="62" spans="1:15" s="9" customFormat="1">
      <c r="A62" s="5"/>
      <c r="F62" s="452"/>
    </row>
    <row r="63" spans="1:15" s="9" customFormat="1">
      <c r="A63" s="5"/>
      <c r="F63" s="452"/>
    </row>
    <row r="64" spans="1:15" s="9" customFormat="1">
      <c r="A64" s="5"/>
      <c r="F64" s="452"/>
    </row>
    <row r="65" spans="1:6" s="9" customFormat="1">
      <c r="A65" s="5"/>
      <c r="F65" s="452"/>
    </row>
    <row r="66" spans="1:6" s="9" customFormat="1">
      <c r="A66" s="5"/>
      <c r="F66" s="452"/>
    </row>
    <row r="67" spans="1:6" s="9" customFormat="1">
      <c r="A67" s="5"/>
      <c r="E67" s="9">
        <f>5524045379+220588474</f>
        <v>5744633853</v>
      </c>
      <c r="F67" s="452"/>
    </row>
    <row r="68" spans="1:6" s="9" customFormat="1">
      <c r="A68" s="5"/>
      <c r="F68" s="452"/>
    </row>
    <row r="69" spans="1:6" s="9" customFormat="1">
      <c r="A69" s="5"/>
      <c r="F69" s="452"/>
    </row>
    <row r="70" spans="1:6" s="9" customFormat="1">
      <c r="A70" s="5"/>
      <c r="F70" s="452"/>
    </row>
    <row r="71" spans="1:6" s="9" customFormat="1">
      <c r="A71" s="5"/>
      <c r="F71" s="452"/>
    </row>
    <row r="72" spans="1:6" s="9" customFormat="1">
      <c r="A72" s="5"/>
      <c r="F72" s="452"/>
    </row>
    <row r="73" spans="1:6" s="9" customFormat="1">
      <c r="A73" s="5"/>
      <c r="F73" s="452"/>
    </row>
    <row r="74" spans="1:6" s="9" customFormat="1">
      <c r="A74" s="5"/>
      <c r="F74" s="452"/>
    </row>
    <row r="75" spans="1:6" s="9" customFormat="1">
      <c r="A75" s="5"/>
      <c r="F75" s="452"/>
    </row>
    <row r="76" spans="1:6" s="9" customFormat="1">
      <c r="A76" s="5"/>
      <c r="F76" s="452"/>
    </row>
    <row r="77" spans="1:6" s="9" customFormat="1">
      <c r="A77" s="5"/>
      <c r="F77" s="452"/>
    </row>
    <row r="78" spans="1:6" s="9" customFormat="1">
      <c r="A78" s="5"/>
      <c r="F78" s="452"/>
    </row>
    <row r="79" spans="1:6" s="9" customFormat="1">
      <c r="A79" s="5"/>
      <c r="F79" s="452"/>
    </row>
    <row r="80" spans="1:6" s="9" customFormat="1">
      <c r="A80" s="5"/>
      <c r="F80" s="452"/>
    </row>
    <row r="81" spans="1:6" s="9" customFormat="1">
      <c r="A81" s="5"/>
      <c r="F81" s="452"/>
    </row>
    <row r="82" spans="1:6" s="9" customFormat="1">
      <c r="A82" s="5"/>
      <c r="F82" s="452"/>
    </row>
    <row r="83" spans="1:6" s="9" customFormat="1">
      <c r="A83" s="5"/>
      <c r="F83" s="452"/>
    </row>
    <row r="84" spans="1:6" s="9" customFormat="1">
      <c r="A84" s="5"/>
      <c r="F84" s="452"/>
    </row>
    <row r="85" spans="1:6" s="9" customFormat="1">
      <c r="A85" s="5"/>
      <c r="F85" s="452"/>
    </row>
    <row r="86" spans="1:6" s="9" customFormat="1">
      <c r="A86" s="5"/>
      <c r="F86" s="452"/>
    </row>
    <row r="87" spans="1:6" s="9" customFormat="1">
      <c r="A87" s="5"/>
      <c r="F87" s="452"/>
    </row>
    <row r="88" spans="1:6" s="9" customFormat="1">
      <c r="A88" s="5"/>
      <c r="F88" s="452"/>
    </row>
    <row r="89" spans="1:6" s="9" customFormat="1">
      <c r="A89" s="5"/>
      <c r="F89" s="452"/>
    </row>
    <row r="90" spans="1:6" s="9" customFormat="1">
      <c r="A90" s="5"/>
      <c r="F90" s="452"/>
    </row>
    <row r="91" spans="1:6" s="9" customFormat="1">
      <c r="A91" s="5"/>
      <c r="F91" s="452"/>
    </row>
    <row r="92" spans="1:6" s="9" customFormat="1">
      <c r="A92" s="5"/>
      <c r="F92" s="452"/>
    </row>
    <row r="93" spans="1:6" s="9" customFormat="1">
      <c r="A93" s="5"/>
      <c r="F93" s="452"/>
    </row>
    <row r="94" spans="1:6" s="9" customFormat="1">
      <c r="A94" s="5"/>
      <c r="F94" s="452"/>
    </row>
    <row r="95" spans="1:6" s="9" customFormat="1">
      <c r="A95" s="5"/>
      <c r="F95" s="452"/>
    </row>
    <row r="96" spans="1:6" s="9" customFormat="1">
      <c r="A96" s="5"/>
      <c r="F96" s="452"/>
    </row>
    <row r="97" spans="1:6" s="9" customFormat="1">
      <c r="A97" s="5"/>
      <c r="F97" s="452"/>
    </row>
    <row r="98" spans="1:6" s="9" customFormat="1">
      <c r="A98" s="5"/>
      <c r="F98" s="452"/>
    </row>
    <row r="99" spans="1:6" s="9" customFormat="1">
      <c r="A99" s="5"/>
      <c r="F99" s="452"/>
    </row>
    <row r="100" spans="1:6" s="9" customFormat="1">
      <c r="A100" s="5"/>
      <c r="F100" s="452"/>
    </row>
    <row r="101" spans="1:6" s="9" customFormat="1">
      <c r="A101" s="5"/>
      <c r="F101" s="452"/>
    </row>
    <row r="102" spans="1:6" s="9" customFormat="1">
      <c r="A102" s="5"/>
      <c r="F102" s="452"/>
    </row>
    <row r="103" spans="1:6" s="9" customFormat="1">
      <c r="A103" s="5"/>
      <c r="F103" s="452"/>
    </row>
    <row r="104" spans="1:6" s="9" customFormat="1">
      <c r="A104" s="5"/>
      <c r="F104" s="452"/>
    </row>
    <row r="105" spans="1:6" s="9" customFormat="1">
      <c r="A105" s="5"/>
      <c r="F105" s="452"/>
    </row>
    <row r="106" spans="1:6" s="9" customFormat="1">
      <c r="A106" s="5"/>
      <c r="F106" s="452"/>
    </row>
    <row r="107" spans="1:6" s="9" customFormat="1">
      <c r="A107" s="5"/>
      <c r="F107" s="452"/>
    </row>
    <row r="108" spans="1:6" s="9" customFormat="1">
      <c r="A108" s="5"/>
      <c r="F108" s="452"/>
    </row>
    <row r="109" spans="1:6" s="9" customFormat="1">
      <c r="A109" s="5"/>
      <c r="F109" s="452"/>
    </row>
    <row r="110" spans="1:6" s="9" customFormat="1">
      <c r="A110" s="5"/>
      <c r="F110" s="452"/>
    </row>
    <row r="111" spans="1:6" s="9" customFormat="1">
      <c r="A111" s="5"/>
      <c r="F111" s="452"/>
    </row>
    <row r="112" spans="1:6" s="9" customFormat="1">
      <c r="A112" s="5"/>
      <c r="F112" s="452"/>
    </row>
    <row r="113" spans="1:6" s="9" customFormat="1">
      <c r="A113" s="5"/>
      <c r="F113" s="452"/>
    </row>
    <row r="114" spans="1:6" s="9" customFormat="1">
      <c r="A114" s="5"/>
      <c r="F114" s="452"/>
    </row>
    <row r="115" spans="1:6" s="9" customFormat="1">
      <c r="A115" s="5"/>
      <c r="F115" s="452"/>
    </row>
    <row r="116" spans="1:6" s="9" customFormat="1">
      <c r="A116" s="5"/>
      <c r="F116" s="452"/>
    </row>
    <row r="117" spans="1:6" s="9" customFormat="1">
      <c r="A117" s="5"/>
      <c r="F117" s="452"/>
    </row>
    <row r="118" spans="1:6" s="9" customFormat="1">
      <c r="A118" s="5"/>
      <c r="F118" s="452"/>
    </row>
    <row r="119" spans="1:6" s="9" customFormat="1">
      <c r="A119" s="5"/>
      <c r="F119" s="452"/>
    </row>
    <row r="120" spans="1:6" s="9" customFormat="1">
      <c r="A120" s="5"/>
      <c r="F120" s="452"/>
    </row>
    <row r="121" spans="1:6" s="9" customFormat="1">
      <c r="A121" s="5"/>
      <c r="F121" s="452"/>
    </row>
    <row r="122" spans="1:6" s="9" customFormat="1">
      <c r="A122" s="5"/>
      <c r="F122" s="452"/>
    </row>
    <row r="123" spans="1:6" s="9" customFormat="1">
      <c r="A123" s="5"/>
      <c r="F123" s="452"/>
    </row>
    <row r="124" spans="1:6" s="9" customFormat="1">
      <c r="A124" s="5"/>
      <c r="F124" s="452"/>
    </row>
    <row r="125" spans="1:6" s="9" customFormat="1">
      <c r="A125" s="5"/>
      <c r="F125" s="452"/>
    </row>
    <row r="126" spans="1:6" s="9" customFormat="1">
      <c r="A126" s="5"/>
      <c r="F126" s="452"/>
    </row>
    <row r="127" spans="1:6" s="9" customFormat="1">
      <c r="A127" s="5"/>
      <c r="F127" s="452"/>
    </row>
    <row r="128" spans="1:6" s="9" customFormat="1">
      <c r="A128" s="5"/>
      <c r="F128" s="452"/>
    </row>
    <row r="129" spans="1:6" s="9" customFormat="1">
      <c r="A129" s="5"/>
      <c r="F129" s="452"/>
    </row>
    <row r="130" spans="1:6" s="9" customFormat="1">
      <c r="A130" s="5"/>
      <c r="F130" s="452"/>
    </row>
    <row r="131" spans="1:6" s="9" customFormat="1">
      <c r="A131" s="5"/>
      <c r="F131" s="452"/>
    </row>
    <row r="132" spans="1:6" s="9" customFormat="1">
      <c r="A132" s="5"/>
      <c r="F132" s="452"/>
    </row>
    <row r="133" spans="1:6" s="9" customFormat="1">
      <c r="A133" s="5"/>
      <c r="F133" s="452"/>
    </row>
    <row r="134" spans="1:6" s="9" customFormat="1">
      <c r="A134" s="5"/>
      <c r="F134" s="452"/>
    </row>
    <row r="135" spans="1:6" s="9" customFormat="1">
      <c r="A135" s="5"/>
      <c r="F135" s="452"/>
    </row>
    <row r="136" spans="1:6" s="9" customFormat="1">
      <c r="A136" s="5"/>
      <c r="F136" s="452"/>
    </row>
    <row r="137" spans="1:6" s="9" customFormat="1">
      <c r="A137" s="5"/>
      <c r="F137" s="452"/>
    </row>
    <row r="138" spans="1:6" s="9" customFormat="1">
      <c r="A138" s="5"/>
      <c r="F138" s="452"/>
    </row>
    <row r="139" spans="1:6" s="9" customFormat="1">
      <c r="A139" s="5"/>
      <c r="F139" s="452"/>
    </row>
    <row r="140" spans="1:6" s="9" customFormat="1">
      <c r="A140" s="5"/>
      <c r="F140" s="452"/>
    </row>
    <row r="141" spans="1:6" s="9" customFormat="1">
      <c r="A141" s="5"/>
      <c r="F141" s="452"/>
    </row>
    <row r="142" spans="1:6" s="9" customFormat="1">
      <c r="A142" s="5"/>
      <c r="F142" s="452"/>
    </row>
    <row r="143" spans="1:6" s="9" customFormat="1">
      <c r="A143" s="5"/>
      <c r="F143" s="452"/>
    </row>
    <row r="144" spans="1:6" s="9" customFormat="1">
      <c r="A144" s="5"/>
      <c r="F144" s="452"/>
    </row>
    <row r="145" spans="1:6" s="9" customFormat="1">
      <c r="A145" s="5"/>
      <c r="F145" s="452"/>
    </row>
    <row r="146" spans="1:6" s="9" customFormat="1">
      <c r="A146" s="5"/>
      <c r="F146" s="452"/>
    </row>
    <row r="147" spans="1:6" s="9" customFormat="1">
      <c r="A147" s="5"/>
      <c r="F147" s="452"/>
    </row>
    <row r="148" spans="1:6" s="9" customFormat="1">
      <c r="A148" s="5"/>
      <c r="F148" s="452"/>
    </row>
    <row r="149" spans="1:6" s="9" customFormat="1">
      <c r="A149" s="5"/>
      <c r="F149" s="452"/>
    </row>
    <row r="150" spans="1:6" s="9" customFormat="1">
      <c r="A150" s="5"/>
      <c r="F150" s="452"/>
    </row>
    <row r="151" spans="1:6" s="9" customFormat="1">
      <c r="A151" s="5"/>
      <c r="F151" s="452"/>
    </row>
    <row r="152" spans="1:6" s="9" customFormat="1">
      <c r="A152" s="5"/>
      <c r="F152" s="452"/>
    </row>
    <row r="153" spans="1:6" s="9" customFormat="1">
      <c r="A153" s="5"/>
      <c r="F153" s="452"/>
    </row>
    <row r="154" spans="1:6" s="9" customFormat="1">
      <c r="A154" s="5"/>
      <c r="F154" s="452"/>
    </row>
    <row r="155" spans="1:6" s="9" customFormat="1">
      <c r="A155" s="5"/>
      <c r="F155" s="452"/>
    </row>
    <row r="156" spans="1:6" s="9" customFormat="1">
      <c r="A156" s="5"/>
      <c r="F156" s="452"/>
    </row>
    <row r="157" spans="1:6" s="9" customFormat="1">
      <c r="A157" s="5"/>
      <c r="F157" s="452"/>
    </row>
    <row r="158" spans="1:6" s="9" customFormat="1">
      <c r="A158" s="5"/>
      <c r="F158" s="452"/>
    </row>
    <row r="159" spans="1:6" s="9" customFormat="1">
      <c r="A159" s="5"/>
      <c r="F159" s="452"/>
    </row>
    <row r="160" spans="1:6" s="9" customFormat="1">
      <c r="A160" s="5"/>
      <c r="F160" s="452"/>
    </row>
    <row r="161" spans="1:6" s="9" customFormat="1">
      <c r="A161" s="5"/>
      <c r="F161" s="452"/>
    </row>
    <row r="162" spans="1:6" s="9" customFormat="1">
      <c r="A162" s="5"/>
      <c r="F162" s="452"/>
    </row>
    <row r="163" spans="1:6" s="9" customFormat="1">
      <c r="A163" s="5"/>
      <c r="F163" s="452"/>
    </row>
    <row r="164" spans="1:6" s="9" customFormat="1">
      <c r="A164" s="5"/>
      <c r="F164" s="452"/>
    </row>
    <row r="165" spans="1:6" s="9" customFormat="1">
      <c r="A165" s="5"/>
      <c r="F165" s="452"/>
    </row>
    <row r="166" spans="1:6" s="9" customFormat="1">
      <c r="A166" s="5"/>
      <c r="F166" s="452"/>
    </row>
    <row r="167" spans="1:6" s="9" customFormat="1">
      <c r="A167" s="5"/>
      <c r="F167" s="452"/>
    </row>
    <row r="168" spans="1:6" s="9" customFormat="1">
      <c r="A168" s="5"/>
      <c r="F168" s="452"/>
    </row>
    <row r="169" spans="1:6" s="9" customFormat="1">
      <c r="A169" s="5"/>
      <c r="F169" s="452"/>
    </row>
    <row r="170" spans="1:6" s="9" customFormat="1">
      <c r="A170" s="5"/>
      <c r="F170" s="452"/>
    </row>
    <row r="171" spans="1:6" s="9" customFormat="1">
      <c r="A171" s="5"/>
      <c r="F171" s="452"/>
    </row>
    <row r="172" spans="1:6" s="9" customFormat="1">
      <c r="A172" s="5"/>
      <c r="F172" s="452"/>
    </row>
    <row r="288" ht="9.75" customHeight="1"/>
    <row r="315" ht="12" customHeight="1"/>
    <row r="322" ht="9.75" customHeight="1"/>
  </sheetData>
  <mergeCells count="17">
    <mergeCell ref="D10:D12"/>
    <mergeCell ref="E10:E12"/>
    <mergeCell ref="F10:F12"/>
    <mergeCell ref="G10:G12"/>
    <mergeCell ref="H10:H12"/>
    <mergeCell ref="A2:K2"/>
    <mergeCell ref="A4:K4"/>
    <mergeCell ref="A5:K5"/>
    <mergeCell ref="A9:A12"/>
    <mergeCell ref="B9:E9"/>
    <mergeCell ref="F9:J9"/>
    <mergeCell ref="K9:K12"/>
    <mergeCell ref="B10:B12"/>
    <mergeCell ref="C10:C12"/>
    <mergeCell ref="I10:I12"/>
    <mergeCell ref="J10:J12"/>
    <mergeCell ref="A6:L6"/>
  </mergeCells>
  <printOptions horizontalCentered="1"/>
  <pageMargins left="0.70866141732283472" right="0.74803149606299213" top="0.31496062992125984" bottom="0.51181102362204722" header="0.15748031496062992" footer="0"/>
  <pageSetup paperSize="9" scale="70" firstPageNumber="2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9</vt:i4>
      </vt:variant>
    </vt:vector>
  </HeadingPairs>
  <TitlesOfParts>
    <vt:vector size="32" baseType="lpstr">
      <vt:lpstr>SOFP</vt:lpstr>
      <vt:lpstr>SOPL</vt:lpstr>
      <vt:lpstr>SCE</vt:lpstr>
      <vt:lpstr>CF</vt:lpstr>
      <vt:lpstr>P-N.(corrected)</vt:lpstr>
      <vt:lpstr>N-4-24-007</vt:lpstr>
      <vt:lpstr>Dif-Stgt and Reduce</vt:lpstr>
      <vt:lpstr>Acc dep</vt:lpstr>
      <vt:lpstr>Schedule-A(July-June-19)-Tax</vt:lpstr>
      <vt:lpstr>Tax-Res-(2018-2019)</vt:lpstr>
      <vt:lpstr>FA-2018-2019-PeriodicDHK</vt:lpstr>
      <vt:lpstr>Loan Int Provision</vt:lpstr>
      <vt:lpstr>N-26-47 (2)-Tax</vt:lpstr>
      <vt:lpstr>Bad debt Prov cal 30.06.19 </vt:lpstr>
      <vt:lpstr>inv in share</vt:lpstr>
      <vt:lpstr>N-20-30</vt:lpstr>
      <vt:lpstr>N-4 (2)</vt:lpstr>
      <vt:lpstr>Sheet1</vt:lpstr>
      <vt:lpstr>N-not valid</vt:lpstr>
      <vt:lpstr>N-14-19</vt:lpstr>
      <vt:lpstr>Sheet3</vt:lpstr>
      <vt:lpstr>Tax Cal-march-13</vt:lpstr>
      <vt:lpstr>N3-9</vt:lpstr>
      <vt:lpstr>'Bad debt Prov cal 30.06.19 '!Print_Area</vt:lpstr>
      <vt:lpstr>CF!Print_Area</vt:lpstr>
      <vt:lpstr>'N-4-24-007'!Print_Area</vt:lpstr>
      <vt:lpstr>'P-N.(corrected)'!Print_Area</vt:lpstr>
      <vt:lpstr>'Schedule-A(July-June-19)-Tax'!Print_Area</vt:lpstr>
      <vt:lpstr>'Tax-Res-(2018-2019)'!Print_Area</vt:lpstr>
      <vt:lpstr>'N-26-47 (2)-Tax'!Print_Titles</vt:lpstr>
      <vt:lpstr>'N-4-24-007'!Print_Titles</vt:lpstr>
      <vt:lpstr>SCE!Print_Titles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2019-11-14T04:38:40Z</dcterms:modified>
</cp:coreProperties>
</file>